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55" windowHeight="8700" tabRatio="598" firstSheet="4" activeTab="5"/>
  </bookViews>
  <sheets>
    <sheet name="Tartalomjegyzék" sheetId="1" r:id="rId1"/>
    <sheet name="Címjegyzék" sheetId="2" r:id="rId2"/>
    <sheet name="2.sz m. II.mód" sheetId="3" r:id="rId3"/>
    <sheet name="2.m.mód.I" sheetId="4" r:id="rId4"/>
    <sheet name="2. számú melléklet" sheetId="5" r:id="rId5"/>
    <sheet name="3.sz.m. II. mód" sheetId="6" r:id="rId6"/>
    <sheet name="3. szám melléklet" sheetId="7" r:id="rId7"/>
    <sheet name="4. számú melléklet II.mód" sheetId="8" r:id="rId8"/>
    <sheet name="5.m. II. mód" sheetId="9" r:id="rId9"/>
    <sheet name="5. számú melléklet" sheetId="10" r:id="rId10"/>
    <sheet name="6. számú melléklet" sheetId="11" r:id="rId11"/>
    <sheet name="7. számú melléklet" sheetId="12" r:id="rId12"/>
    <sheet name="8. számú melléklet" sheetId="13" r:id="rId13"/>
    <sheet name="9. számú melléklet" sheetId="14" r:id="rId14"/>
    <sheet name="10. számú melléklet" sheetId="15" r:id="rId15"/>
    <sheet name="11. számú melléklet" sheetId="16" r:id="rId16"/>
    <sheet name="12. számú melléklet" sheetId="17" r:id="rId17"/>
    <sheet name="13. számú melléklet" sheetId="18" r:id="rId18"/>
    <sheet name="14. számú melléklet" sheetId="19" r:id="rId19"/>
    <sheet name="15. számú melléklet" sheetId="20" r:id="rId20"/>
  </sheets>
  <externalReferences>
    <externalReference r:id="rId23"/>
    <externalReference r:id="rId24"/>
    <externalReference r:id="rId25"/>
  </externalReferences>
  <definedNames>
    <definedName name="_Key1" localSheetId="11" hidden="1">#REF!</definedName>
    <definedName name="_Key1" hidden="1">#REF!</definedName>
    <definedName name="_Key2" localSheetId="11" hidden="1">#REF!</definedName>
    <definedName name="_Key2" hidden="1">#REF!</definedName>
    <definedName name="_Order1" hidden="1">255</definedName>
    <definedName name="_Order2" hidden="1">255</definedName>
    <definedName name="_Sort" localSheetId="11" hidden="1">#REF!</definedName>
    <definedName name="_Sort" hidden="1">#REF!</definedName>
    <definedName name="aa" hidden="1">#REF!</definedName>
    <definedName name="aaa" hidden="1">#REF!</definedName>
    <definedName name="aaaaa">#REF!</definedName>
    <definedName name="aaaaaa">#REF!</definedName>
    <definedName name="ADATBÁZIS_MÉ" localSheetId="11">#REF!</definedName>
    <definedName name="ADATBÁZIS_MÉ">#REF!</definedName>
    <definedName name="f" localSheetId="11">#REF!</definedName>
    <definedName name="f">#REF!</definedName>
    <definedName name="KIGYŰJTÉS_MÉ">#REF!</definedName>
    <definedName name="kk">#REF!</definedName>
    <definedName name="KRITÉRIUM_MÉ">#REF!</definedName>
    <definedName name="_xlnm.Print_Titles" localSheetId="5">'3.sz.m. II. mód'!$6:$8</definedName>
    <definedName name="_xlnm.Print_Area" localSheetId="5">'3.sz.m. II. mód'!$A$1:$O$65</definedName>
  </definedNames>
  <calcPr fullCalcOnLoad="1"/>
</workbook>
</file>

<file path=xl/sharedStrings.xml><?xml version="1.0" encoding="utf-8"?>
<sst xmlns="http://schemas.openxmlformats.org/spreadsheetml/2006/main" count="5406" uniqueCount="858">
  <si>
    <t xml:space="preserve">  - Pedagógus szakvizsga és továbbképzés Vp. Isk.</t>
  </si>
  <si>
    <t xml:space="preserve">  - Pedagógus szakvizsga és továbbképzés Újl. Isk.</t>
  </si>
  <si>
    <t>1.1.(3)1</t>
  </si>
  <si>
    <t xml:space="preserve">  - Pedagógus szakvizsga és továbbképzés Vp. Isk.8hó</t>
  </si>
  <si>
    <t xml:space="preserve">  - Pedagógus szakvizsga és továbbképzés Újl. Isk.8hó</t>
  </si>
  <si>
    <t>1.1.(7)1</t>
  </si>
  <si>
    <t xml:space="preserve">  - Ped.szakvizsga és továbbképzés Műv.okt.Vp. Isk.8hó</t>
  </si>
  <si>
    <t>1.1.(3)2</t>
  </si>
  <si>
    <t xml:space="preserve">  - Pedagógus szakvizsga és továbbképzés Vp. Isk.4hó</t>
  </si>
  <si>
    <t xml:space="preserve">  - Pedagógus szakvizsga és továbbképzés Újl. Isk.4hó</t>
  </si>
  <si>
    <t xml:space="preserve">  - Ped.szakvizsga és továbbképzés Műv.okt.Vp. Isk.4hó</t>
  </si>
  <si>
    <t xml:space="preserve">   Ped.szakvizsga és továbbképzés össz.iskola</t>
  </si>
  <si>
    <t xml:space="preserve"> 14.1.</t>
  </si>
  <si>
    <t>Diáksporttal kapcsolatos feladatok</t>
  </si>
  <si>
    <t xml:space="preserve"> - Vámospércs 571fő*430/12*8= 163.687.-</t>
  </si>
  <si>
    <t xml:space="preserve"> - Újléta 137*430/12*8=39.273.-</t>
  </si>
  <si>
    <t xml:space="preserve"> 14.2.</t>
  </si>
  <si>
    <t xml:space="preserve"> - Vámospércs 576fő*430/12*4= 82.560.-</t>
  </si>
  <si>
    <t xml:space="preserve"> - Újléta 140*430/12*4=20.067.-</t>
  </si>
  <si>
    <t>Iskola 8. számú melléklet összesen</t>
  </si>
  <si>
    <t>Általános iskola összesen</t>
  </si>
  <si>
    <t>Egyes szoc.feladatok kiegészítő támogatása</t>
  </si>
  <si>
    <t>Önk.által szervezett közcélú fogl.támogatása</t>
  </si>
  <si>
    <t>8.számú melléklet összesen</t>
  </si>
  <si>
    <t>"Szociális Szolgáltató Központ épületének felújítása" (LEKI)</t>
  </si>
  <si>
    <t>"Vámospércs Szabadság- Zrínyi- Homok utcák szilárd burkolattal történő ellátása" (TEKI) Mód.előir.</t>
  </si>
  <si>
    <t>"Vámospércs Művelődési Ház bővítésének befejezése" (CEDE) Mód. Előir.</t>
  </si>
  <si>
    <t>3.+ 8. számú melléklet összesen</t>
  </si>
  <si>
    <t>SZJA-ból átengedett 8 %</t>
  </si>
  <si>
    <t xml:space="preserve">  - ebből államháztartási tartalék</t>
  </si>
  <si>
    <t>SZJA-ból kieg.jöv.differenciáldás miatt</t>
  </si>
  <si>
    <t>Címjegyzék</t>
  </si>
  <si>
    <t>Fejezet</t>
  </si>
  <si>
    <t>Cím</t>
  </si>
  <si>
    <t>Vámospércs Polgármesteri Hivatal</t>
  </si>
  <si>
    <t>Vámospércs - Újléta Közoktatási Intézményfenntartó Társulás</t>
  </si>
  <si>
    <t>Mikrotérségi Családsegítő- és Gyermekjóléti Intézményfenntartó Társulás</t>
  </si>
  <si>
    <t>Művelődési Ház és Könyvtár</t>
  </si>
  <si>
    <t>Intézményi Konyhák</t>
  </si>
  <si>
    <t>Vámospércs Cigány Kisebbségi Önkormányzat</t>
  </si>
  <si>
    <t>Tartalomjegyzék</t>
  </si>
  <si>
    <t>Címrend</t>
  </si>
  <si>
    <t>Vámospércs Városi Önkormányzat és CKÖ 2009. évre tervezett bevételeinek és kiadásainak mérlege         (1-10.old.)</t>
  </si>
  <si>
    <t>Az önkormányzat 2009. évi beruházsái kiadásai feladatonként (a több éves pénzügyi kihatások bemutatásával együtt)</t>
  </si>
  <si>
    <t>Az önkormányzat 2009. évi tervezett felújítási kiadási célonként</t>
  </si>
  <si>
    <t>Kimutatás az Európai Uniós forrásból megvalósuló projektekről</t>
  </si>
  <si>
    <t>Az önkormányzat és intézményei 2009. évi költségvetési létszámkerete</t>
  </si>
  <si>
    <t>Előirányzat felhasználási ütemterv</t>
  </si>
  <si>
    <t>Közvetett támogatások</t>
  </si>
  <si>
    <t>A működési és fejlesztési célú bevételek és kiadások 2009-2010-2011. évi alakulását bemutató mérleg</t>
  </si>
  <si>
    <t>Zárolt tételek a 2009. évi költségvetésből</t>
  </si>
  <si>
    <t>Az önkormányzat 2009. évi költségvetésében biztosított tartalékok kimutatása</t>
  </si>
  <si>
    <t>Eddigi módosítás</t>
  </si>
  <si>
    <t>Jelenlegi módosítás</t>
  </si>
  <si>
    <t xml:space="preserve">Mód. előir. </t>
  </si>
  <si>
    <t>Felhalmozási célú tartalék</t>
  </si>
  <si>
    <t>ÉAOP-4.1.3/B Vámospércs bölcsöde létesítése Eredeti előir.</t>
  </si>
  <si>
    <t>ÉAOP-4.1.3/B Vámospércs bölcsöde létesítése Eddigi mód.</t>
  </si>
  <si>
    <t>BERUHÁZÁSOK ÖSSZESEN Er. Előirányzat</t>
  </si>
  <si>
    <t>BERUHÁZÁSOK ÖSSZESEN Eddigi módosítás</t>
  </si>
  <si>
    <t>BERUHÁZÁSOK ÖSSZESEN Jelenlegi módosítás</t>
  </si>
  <si>
    <t>BERUHÁZÁSOK ÖSSZESEN Módosított előirányzat</t>
  </si>
  <si>
    <r>
      <t>TIOP-2007-2.1.2. Vámospércs Egészségügyi Központ kialakítása</t>
    </r>
    <r>
      <rPr>
        <vertAlign val="superscript"/>
        <sz val="12"/>
        <rFont val="Times New Roman CE"/>
        <family val="0"/>
      </rPr>
      <t xml:space="preserve">* </t>
    </r>
    <r>
      <rPr>
        <sz val="12"/>
        <rFont val="Times New Roman CE"/>
        <family val="0"/>
      </rPr>
      <t>Eredeti előir.</t>
    </r>
  </si>
  <si>
    <r>
      <t>TIOP-2007-2.1.2. Vámospércs Egészségügyi Központ kialakítása</t>
    </r>
    <r>
      <rPr>
        <vertAlign val="superscript"/>
        <sz val="12"/>
        <rFont val="Times New Roman CE"/>
        <family val="0"/>
      </rPr>
      <t xml:space="preserve">* </t>
    </r>
    <r>
      <rPr>
        <sz val="12"/>
        <rFont val="Times New Roman CE"/>
        <family val="0"/>
      </rPr>
      <t>Eddigi mód.</t>
    </r>
  </si>
  <si>
    <r>
      <t>TIOP-2007-2.1.2. Vámospércs Egészségügyi Központ kialakítása</t>
    </r>
    <r>
      <rPr>
        <vertAlign val="superscript"/>
        <sz val="12"/>
        <rFont val="Times New Roman CE"/>
        <family val="0"/>
      </rPr>
      <t xml:space="preserve">** </t>
    </r>
    <r>
      <rPr>
        <sz val="12"/>
        <rFont val="Times New Roman CE"/>
        <family val="0"/>
      </rPr>
      <t>Jelenlegi mód.</t>
    </r>
  </si>
  <si>
    <r>
      <t>TIOP-2007-2.1.2. Vámospércs Egészségügyi Központ kialakítása</t>
    </r>
    <r>
      <rPr>
        <b/>
        <vertAlign val="superscript"/>
        <sz val="12"/>
        <rFont val="Times New Roman CE"/>
        <family val="0"/>
      </rPr>
      <t xml:space="preserve">** </t>
    </r>
    <r>
      <rPr>
        <b/>
        <sz val="12"/>
        <rFont val="Times New Roman CE"/>
        <family val="0"/>
      </rPr>
      <t>Mód</t>
    </r>
    <r>
      <rPr>
        <b/>
        <vertAlign val="superscript"/>
        <sz val="12"/>
        <rFont val="Times New Roman CE"/>
        <family val="0"/>
      </rPr>
      <t>.</t>
    </r>
    <r>
      <rPr>
        <b/>
        <sz val="12"/>
        <rFont val="Times New Roman CE"/>
        <family val="0"/>
      </rPr>
      <t xml:space="preserve"> előir.</t>
    </r>
  </si>
  <si>
    <t>Iskola, óvoda felújítás Eredeti előir.</t>
  </si>
  <si>
    <t>TIOP-3.4.2-08/1 Magasabb minőségű szolg. a Vp. Szoc. Sz. K. Eredeti ei.</t>
  </si>
  <si>
    <t>TIOP-3.4.2-08/1 Magasabb minőségű szolg. a Vp. Szoc. Sz. K. Jelenlegi mód.</t>
  </si>
  <si>
    <t>TIOP-3.4.2-08/1 Magasabb minőségű szolg. a Vp. Szoc. Sz. K. Módosított ei.</t>
  </si>
  <si>
    <t>FELÚJÍTÁSOK ÖSSZESEN Eredeti előir.</t>
  </si>
  <si>
    <t>FELÚJÍTÁSOK ÖSSZESEN Eddigi módosítás</t>
  </si>
  <si>
    <t>FELÚJÍTÁSOK ÖSSZESEN Jelenlegi mód.</t>
  </si>
  <si>
    <t>FELÚJÍTÁSOK ÖSSZESEN Mód. előir.</t>
  </si>
  <si>
    <t>"Vámospércs Szabadság- Zrínyi- Homok utcák szilárd burkolattal történő ellátása" Eddigi mód.</t>
  </si>
  <si>
    <t>"Vámospércs Szabadság- Zrínyi- Homok utcák szilárd burkolattal történő ellátása" Jelenlegi módosítás</t>
  </si>
  <si>
    <t>"Vámospércs Művelődési Ház bővítésének befejezése" Eddigi mód.</t>
  </si>
  <si>
    <t>"Vámospércs Művelődési Ház bővítésének befejezése" Jelenlegi mód.</t>
  </si>
  <si>
    <t>ÉAOP-4.1.3/B Vámospércs bölcsöde létesítése Jelenlegi mód.</t>
  </si>
  <si>
    <t>ÉAOP-4.1.3/B Vámospércs bölcsöde létesítése Mód. előir.</t>
  </si>
  <si>
    <t xml:space="preserve">** A pályázathoz önerőként a telek értéke van tervezve, amely módosított előirányzata 43.833e Ft. A terület közművesítésére árajánlatokat kell bekérni, </t>
  </si>
  <si>
    <t>és annak függvényében előirányzatot biztosítani a költésgvetési rendeletben.</t>
  </si>
  <si>
    <t>Fűnyiró traktor vásárlása Eddigi mód.</t>
  </si>
  <si>
    <t>Fűnyiró traktor vásárlása Jelenlegi mód.</t>
  </si>
  <si>
    <t>Fűnyiró traktor vásárlása Mód. Előir.</t>
  </si>
  <si>
    <t>Utak építése Eredeti előir.</t>
  </si>
  <si>
    <r>
      <t>TIOP-2007-2.1.2. Vámospércs Egészségügyi Központ kialakítása</t>
    </r>
    <r>
      <rPr>
        <vertAlign val="superscript"/>
        <sz val="10"/>
        <rFont val="Times New Roman CE"/>
        <family val="0"/>
      </rPr>
      <t>*</t>
    </r>
  </si>
  <si>
    <t>II. Rákóczi Ferenc Általános Iskola és Alapfokú Művészetoktatási Intézmény</t>
  </si>
  <si>
    <t>I.</t>
  </si>
  <si>
    <t>zet</t>
  </si>
  <si>
    <t>cím</t>
  </si>
  <si>
    <t>Működési kiadások</t>
  </si>
  <si>
    <t>Személyi juttatás</t>
  </si>
  <si>
    <t>Munkaadókat terhelő járulékok</t>
  </si>
  <si>
    <t>Felhalmozási kiadások</t>
  </si>
  <si>
    <t>Polgármesteri Hivatal</t>
  </si>
  <si>
    <t>Támogatásértékű kiadások</t>
  </si>
  <si>
    <t>Beruházás</t>
  </si>
  <si>
    <t>Finanszírozási kiadások</t>
  </si>
  <si>
    <t>E Ft-ban</t>
  </si>
  <si>
    <t>1.</t>
  </si>
  <si>
    <t>2.</t>
  </si>
  <si>
    <t>3.</t>
  </si>
  <si>
    <t>4.</t>
  </si>
  <si>
    <t>6.</t>
  </si>
  <si>
    <t>7.</t>
  </si>
  <si>
    <t>8.</t>
  </si>
  <si>
    <t>ÖSSZESEN:</t>
  </si>
  <si>
    <t>S.</t>
  </si>
  <si>
    <t>Intézmény neve</t>
  </si>
  <si>
    <t>Bekerülési költség</t>
  </si>
  <si>
    <t>Bekerülési költségből</t>
  </si>
  <si>
    <t>2008.12.31.-ig felh.</t>
  </si>
  <si>
    <t>2009. évi előirányzat</t>
  </si>
  <si>
    <t>2010. évi előirányzat</t>
  </si>
  <si>
    <t>2011.évi előirányzat</t>
  </si>
  <si>
    <t>sz.</t>
  </si>
  <si>
    <t>Felújítás</t>
  </si>
  <si>
    <t xml:space="preserve">Saját </t>
  </si>
  <si>
    <t>támogatás</t>
  </si>
  <si>
    <t>forrás</t>
  </si>
  <si>
    <t>INTÉZMÉNYEK BERUHÁZÁSI KIADÁSAI</t>
  </si>
  <si>
    <t>II. Rákóczi Ferenc Általános Iskola és Alapfokú Művészetoktatási Intézmény nyílászáró csere</t>
  </si>
  <si>
    <t xml:space="preserve">Polgármesteri Hivatal </t>
  </si>
  <si>
    <t>Infokommunikációs technológiai fejlesztés</t>
  </si>
  <si>
    <t>INTÉZMÉNYEK BERUHÁZÁSI KIADÁSA ÖSSZESEN :</t>
  </si>
  <si>
    <t>ÖNKORMÁNYZATI BERUHÁZÁSOK</t>
  </si>
  <si>
    <t xml:space="preserve">Az Önkormányzat és intézményei 2009. évi költségvetési létszámkerete </t>
  </si>
  <si>
    <t>Fe-</t>
  </si>
  <si>
    <t>Engedélyezett</t>
  </si>
  <si>
    <t>je-</t>
  </si>
  <si>
    <t>alcím</t>
  </si>
  <si>
    <t>M e g n e v e z é s</t>
  </si>
  <si>
    <t>dolgozói létszám</t>
  </si>
  <si>
    <t>2008. év</t>
  </si>
  <si>
    <t>2009. év</t>
  </si>
  <si>
    <t>Önkormányzati finanszírozású intézmények</t>
  </si>
  <si>
    <t>Polgármesteri Hivatal és részben önálló intézményei</t>
  </si>
  <si>
    <t xml:space="preserve">   - köztisztviselők</t>
  </si>
  <si>
    <t xml:space="preserve">   - önkormányzati közalkalmazott</t>
  </si>
  <si>
    <t xml:space="preserve">   - MT hatálya alá tartozó munkavállalók</t>
  </si>
  <si>
    <t>Összesen:</t>
  </si>
  <si>
    <t>Bevételek</t>
  </si>
  <si>
    <t>Személyi juttatások</t>
  </si>
  <si>
    <t>Dologi kiadások</t>
  </si>
  <si>
    <t>Összesen</t>
  </si>
  <si>
    <t>5.</t>
  </si>
  <si>
    <t>Száma</t>
  </si>
  <si>
    <t>9.</t>
  </si>
  <si>
    <t>10.</t>
  </si>
  <si>
    <t>11.</t>
  </si>
  <si>
    <t>12.</t>
  </si>
  <si>
    <t>13.</t>
  </si>
  <si>
    <t>14.</t>
  </si>
  <si>
    <t>15.</t>
  </si>
  <si>
    <t>2009. évi terv</t>
  </si>
  <si>
    <t>fő</t>
  </si>
  <si>
    <t>Tartalékok</t>
  </si>
  <si>
    <t>Kiadások</t>
  </si>
  <si>
    <t>Megnevezés</t>
  </si>
  <si>
    <t>Előző évi pénzmaradvány</t>
  </si>
  <si>
    <t>Pénzügyi befektetések bevételei</t>
  </si>
  <si>
    <t>Támogatásértékű felhalmozási kiadás</t>
  </si>
  <si>
    <t>Pénzügyi befektetések kiadásai</t>
  </si>
  <si>
    <t>Felhalmozási célú pénzeszközátadás államháztartáson kívülre</t>
  </si>
  <si>
    <t>Támogatásértékű bevételek</t>
  </si>
  <si>
    <t>Szakfeladat</t>
  </si>
  <si>
    <t xml:space="preserve">Kisegítő megzőgazdasági szolgáltatás (parkfenntartás) </t>
  </si>
  <si>
    <t>014034</t>
  </si>
  <si>
    <t xml:space="preserve">Lapkiadás  </t>
  </si>
  <si>
    <t>Mélyépítőipar (beruházások)</t>
  </si>
  <si>
    <t>Helyi közutak létesítése, felújítása</t>
  </si>
  <si>
    <t>Közutak, hidak, alagutak üzemeltetése</t>
  </si>
  <si>
    <t>Önkormányzati igazgatási tevékenység (Polgármesteri Hivatal)</t>
  </si>
  <si>
    <t>Város és községgazdálkodási szolgáltatás</t>
  </si>
  <si>
    <t>Közvilágítási feladatok</t>
  </si>
  <si>
    <t>Önkormányzat elszámolásai</t>
  </si>
  <si>
    <t>Finanszírozási műveletek elszámolása</t>
  </si>
  <si>
    <t xml:space="preserve">Állategészségügyi tevékenység </t>
  </si>
  <si>
    <t>Rendszeres szociális pénzbeni ellátások</t>
  </si>
  <si>
    <t>Munkanélküli ellátások</t>
  </si>
  <si>
    <t>Eseti pénzbeli szociális ellátások</t>
  </si>
  <si>
    <t>Szennyvízelvezetés - és kezelés</t>
  </si>
  <si>
    <t xml:space="preserve">Települési hulladékkezelés </t>
  </si>
  <si>
    <t>Sajátos működési bevételek</t>
  </si>
  <si>
    <t>Működési bevételek</t>
  </si>
  <si>
    <t>Támogatások</t>
  </si>
  <si>
    <t>Bevételek összesen:</t>
  </si>
  <si>
    <t>Munka-adókat terhelő jár.</t>
  </si>
  <si>
    <t>Általános tartalék</t>
  </si>
  <si>
    <t>Az önkormányzat 2009. évi  költségvetésében biztosított tartalékok kimutatása</t>
  </si>
  <si>
    <t>Sorszám</t>
  </si>
  <si>
    <t>II.</t>
  </si>
  <si>
    <t>Fejlesztési célú támogatások</t>
  </si>
  <si>
    <t>III.</t>
  </si>
  <si>
    <t>V.</t>
  </si>
  <si>
    <t>VI.</t>
  </si>
  <si>
    <t>VII.</t>
  </si>
  <si>
    <t>VIII.</t>
  </si>
  <si>
    <t>KIMUTATÁS AZ EURÓPAI UNIÓS FORRÁSBÓL MEGVALÓSULÓ PROJEKTEKRŐL</t>
  </si>
  <si>
    <t>Projekt megnevezése</t>
  </si>
  <si>
    <t>Összköltség</t>
  </si>
  <si>
    <t>Összköltségből</t>
  </si>
  <si>
    <t>2008.12.31.-ig felhasznált</t>
  </si>
  <si>
    <t xml:space="preserve">Kezdési </t>
  </si>
  <si>
    <t>Támogatás</t>
  </si>
  <si>
    <t>év</t>
  </si>
  <si>
    <t>hazai</t>
  </si>
  <si>
    <t xml:space="preserve"> Európai Uniós</t>
  </si>
  <si>
    <t>Feladat, cél megnevezése</t>
  </si>
  <si>
    <t>BERUHÁZÁSOK ÖSSZESEN</t>
  </si>
  <si>
    <t>FELÚJÍTÁSOK</t>
  </si>
  <si>
    <t>Szociális Szolgáltató Központ</t>
  </si>
  <si>
    <t>Művelődési Ház- és Könyvtár</t>
  </si>
  <si>
    <t>Vámospércs-Újléta Közoktatási Intézményfenntartó Társulás Általános Iskola</t>
  </si>
  <si>
    <t>Vámospércs-Újléta Közoktatási Intézményfenntartó Társulás Óvoda</t>
  </si>
  <si>
    <t>Mikrotérségi Családsegítő- és Gyermekjóléti Int.Társulás</t>
  </si>
  <si>
    <t>Vámospércs Intézményi Konyhák</t>
  </si>
  <si>
    <t>Saját vagy bérelt ingatlan hasznosítása (Ifjúsági ház)</t>
  </si>
  <si>
    <t>Átadott pénz., hitel törl.</t>
  </si>
  <si>
    <t>Máshova nem sorolt egyéb szervek tev. (Közcélúak fogl.)</t>
  </si>
  <si>
    <t>Televízió műsorszolgáltatás</t>
  </si>
  <si>
    <t>Sport létesítmények működtetése (uszoda)</t>
  </si>
  <si>
    <t>Temetkezési szolgáltatás</t>
  </si>
  <si>
    <t>Máshova nem sorolt egyéb szolg. (Tájház)</t>
  </si>
  <si>
    <t xml:space="preserve">ÁROP-2007-1.A.2/A Polgármesteri hivatal szervezetfejlesztése c. pályázat önrésze </t>
  </si>
  <si>
    <t>ÉAOP-4.1.3/B Vámospércs bölcsöde létesítése</t>
  </si>
  <si>
    <t>KEOP-1.2.0 Vp.-Ny.falva tel. szennyvízelvez. és tisztítás I.</t>
  </si>
  <si>
    <t>ÉAOP-5.1.1/E A városi közösségi szolgáltatások körének bővítése Vámospércsen</t>
  </si>
  <si>
    <t>TEUT-2008 Görgey utca felújítása</t>
  </si>
  <si>
    <r>
      <t>TIOP-2007-2.1.2. Vámospércs Egészségügyi Központ kialakítása</t>
    </r>
    <r>
      <rPr>
        <vertAlign val="superscript"/>
        <sz val="9"/>
        <rFont val="Times New Roman CE"/>
        <family val="0"/>
      </rPr>
      <t>*</t>
    </r>
  </si>
  <si>
    <t>* A pályázathoz önerőként a telek értéke van tervezve 52.600e Ft összegben. Kiadásként fog jelentkezni nyertes pályázat esetén a közművesítés</t>
  </si>
  <si>
    <t>Számítástechnikai eszközk beszerzése a Polg. Hivatalba</t>
  </si>
  <si>
    <t>Részletes Rendezési Terv készítése</t>
  </si>
  <si>
    <t>Az önkormányzat 2009. évi tervezett felújítási kiadásai célonként</t>
  </si>
  <si>
    <t>Felújíátás</t>
  </si>
  <si>
    <t>Az önkormányzat 2009. évi beruházási kiadásai feladatonként (a több éves pénzügyi kihatások bemutatásával együtt)</t>
  </si>
  <si>
    <t>2009.</t>
  </si>
  <si>
    <t>Utak építése</t>
  </si>
  <si>
    <t xml:space="preserve">Kiadás </t>
  </si>
  <si>
    <t>össz.</t>
  </si>
  <si>
    <t>Kiadás</t>
  </si>
  <si>
    <t>összesen</t>
  </si>
  <si>
    <t>Kimutatás a Polgármesteri Hivatal működési kiadásairól szakfeladatonkénti bontásban</t>
  </si>
  <si>
    <t>Szociális kiadások Tartalék</t>
  </si>
  <si>
    <t>Önk.sa-játos bev.</t>
  </si>
  <si>
    <t xml:space="preserve">Intézm. bevétel  </t>
  </si>
  <si>
    <t>Támo-gatások</t>
  </si>
  <si>
    <t>Tám.ért. bevétel</t>
  </si>
  <si>
    <t>Átvett pénz., hitel törl.</t>
  </si>
  <si>
    <t>Önkormányzati feladatra nem tervezhető</t>
  </si>
  <si>
    <t>Kimutatás a Polgármesteri Hivatal működési bevételeiről szakfeladatonkénti bontásban</t>
  </si>
  <si>
    <t xml:space="preserve"> ebből: képviselő-testület kiadásai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</si>
  <si>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</si>
  <si>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</si>
  <si>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</si>
  <si>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</si>
  <si>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</si>
  <si>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</si>
  <si>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</si>
  <si>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</si>
  <si>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</si>
  <si>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</si>
  <si>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</si>
  <si>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</si>
  <si>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Felhalmozási és tőkejellegű bev.</t>
  </si>
  <si>
    <t>Átvett pénzeszközök</t>
  </si>
  <si>
    <t>Támog. célú kölcsön visszatér.</t>
  </si>
  <si>
    <t>Járulékok</t>
  </si>
  <si>
    <t>Dologi jellegű kiadások</t>
  </si>
  <si>
    <t>Felhalm. és tőkejell. kiadások</t>
  </si>
  <si>
    <t>Végleges pénzeszközátadások</t>
  </si>
  <si>
    <t>Ellátottak pénzbeli juttatása</t>
  </si>
  <si>
    <t>Támog. célú kölcsön nyújtása</t>
  </si>
  <si>
    <t>Kiadások összesen:</t>
  </si>
  <si>
    <t>Egyenleg</t>
  </si>
  <si>
    <t>ELŐIRÁNYZAT FELHASZNÁLÁSI ÜTEMTERV</t>
  </si>
  <si>
    <t>Temető bővítés</t>
  </si>
  <si>
    <t>A  működési és fejlesztési célú bevételek és kiadások 2009-2010-2011. évi alakulását bemutató mérleg</t>
  </si>
  <si>
    <t xml:space="preserve"> E Ft-ban </t>
  </si>
  <si>
    <t>2009. évre</t>
  </si>
  <si>
    <t>2010. évre</t>
  </si>
  <si>
    <t>2011. évre</t>
  </si>
  <si>
    <t xml:space="preserve">I. Működési bevételek és kiadások </t>
  </si>
  <si>
    <t>Intézményi működési bevételek (levonva a felhalmozási ÁFA visszatérülések, értékesített tárgyi eszközök és immateriális javak ÁFA-ja, működési célú pénzeszközátvétel államháztartáson kívülről)</t>
  </si>
  <si>
    <t xml:space="preserve">Önkormányzatok sajátos működési bevételei </t>
  </si>
  <si>
    <t>Önkormányzatok költségvetési támogatása és átengedett személyi jövedelemadó bevétele</t>
  </si>
  <si>
    <t>Működési célú pénzeszközátvétel államháztartáson kívülről</t>
  </si>
  <si>
    <t>Támogatásértékű működési bevétel</t>
  </si>
  <si>
    <t>Támogatásértékű (lebonyolítási) célú működési bevétel</t>
  </si>
  <si>
    <t>Működési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</si>
  <si>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</si>
  <si>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</si>
  <si>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</si>
  <si>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   (01+...+10)</t>
  </si>
  <si>
    <t xml:space="preserve">Személyi juttatások </t>
  </si>
  <si>
    <t>Dologi kiadások és egyéb folyó kiadások (levonva az értékesített tárgyi eszközök, immateriális javak utáni ÁFA befizetés és kamatkifizetés )</t>
  </si>
  <si>
    <t>Működési célú pénzeszközátadás államháztartáson kívülre, egyéb támogatás</t>
  </si>
  <si>
    <t>Támogatásértékű működési kiadás</t>
  </si>
  <si>
    <t>Továbbadási (lebonyolítási) célú működési kiadás</t>
  </si>
  <si>
    <t>Társadalom- és szociálpolitikai juttatások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</si>
  <si>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</si>
  <si>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</si>
  <si>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</si>
  <si>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</si>
  <si>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Működési célú kiadások összesen   (12+...+23)</t>
  </si>
  <si>
    <t>II. Felhalmozási célú bevételek és kiadások</t>
  </si>
  <si>
    <t>Önkormányzatok felhalmozási és tőke jellegű bevételei (levonva a felhalmozási célú pénzeszközátvétel államháztartáson kívülről)</t>
  </si>
  <si>
    <t>Önkormányzatok sajátos felhalmozási és tőke bevételei</t>
  </si>
  <si>
    <t>Fejlesztési célú költségvetési támogatások</t>
  </si>
  <si>
    <t>Felhalmozási célú pénzeszközátvétel államháztartáson kívülről</t>
  </si>
  <si>
    <t>Támogatásértékű felhalmozási bevétel</t>
  </si>
  <si>
    <t>Kötvénykibocsátásból származó kamatbevétel</t>
  </si>
  <si>
    <t>Felhalmozási ÁFA visszatérülése</t>
  </si>
  <si>
    <t>Értékesített tárgyi eszközök és
 immateriális javak ÁFA-ja</t>
  </si>
  <si>
    <t>Felhalmozási célú kölcsönök visszatérülése, igénybevétele</t>
  </si>
  <si>
    <t>Hosszú lejáratú hitel</t>
  </si>
  <si>
    <t>Hosszú lejáratú értékpapírok kibocsátása</t>
  </si>
  <si>
    <t>Felhalmozási célú előző évi pénzmaradvány igénybevétele</t>
  </si>
  <si>
    <t>Felhalmozási célú bevételek összesen (25+..+36)</t>
  </si>
  <si>
    <t>Felhalmozási kiadások (ÁFA-val együtt)</t>
  </si>
  <si>
    <t>Felújítási kiadások (ÁFA-val együtt)</t>
  </si>
  <si>
    <t>Értékesített tárgyi eszközök, immateriális javak utáni ÁFA befizetés</t>
  </si>
  <si>
    <t>Továbbadási (lebonyolítási) célú felhalmozási kiadás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</si>
  <si>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</si>
  <si>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</si>
  <si>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</si>
  <si>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</si>
  <si>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 (38+..+48)</t>
  </si>
  <si>
    <t>Önkormányzat bevételei ÖSSZESEN (11+37)</t>
  </si>
  <si>
    <t>Önkormányzat kiadásai ÖSSZESEN (24+49)</t>
  </si>
  <si>
    <r>
      <t xml:space="preserve">ZÁROLT TÉTELEK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>a 2009. évi költségvetésből</t>
    </r>
  </si>
  <si>
    <t>14. számú melléklet</t>
  </si>
  <si>
    <t>e Ft-ban</t>
  </si>
  <si>
    <t>sor-szám</t>
  </si>
  <si>
    <t>Munka-adót terh.jár.</t>
  </si>
  <si>
    <t>Dologi jell. Kiadás</t>
  </si>
  <si>
    <t>Szoc.pol. Ellátás</t>
  </si>
  <si>
    <t>Pénzeszk. Átadás</t>
  </si>
  <si>
    <t>751153 Önk.ig.tevékenység szakfeladat</t>
  </si>
  <si>
    <t xml:space="preserve"> - pü. gyesses álláshely támogatottal bet.</t>
  </si>
  <si>
    <t xml:space="preserve"> - tervezett jutalomkeret</t>
  </si>
  <si>
    <t xml:space="preserve"> - jubileumi jutalom</t>
  </si>
  <si>
    <t xml:space="preserve"> -  uszodagépész támogatottal betöltve</t>
  </si>
  <si>
    <t xml:space="preserve"> -  uszoda takarítói állás támogatottal bet.</t>
  </si>
  <si>
    <t xml:space="preserve"> - szám.tech.eszközök karbantartása</t>
  </si>
  <si>
    <t xml:space="preserve"> - Vp. Humánszolg.KHT-nak tervezettből</t>
  </si>
  <si>
    <t xml:space="preserve"> - Vp.-Ny.adony Köztest.Tűzoltóság</t>
  </si>
  <si>
    <t xml:space="preserve"> - egyéb non-profit sz.támog.-ból</t>
  </si>
  <si>
    <t xml:space="preserve"> - rendelkezésre álllási tám.-ból</t>
  </si>
  <si>
    <t>014034 Kisegítő mezőgazd.szolg.</t>
  </si>
  <si>
    <t xml:space="preserve"> - parkosítás tervezett 720e-ből </t>
  </si>
  <si>
    <t>221214 Lapkiadás</t>
  </si>
  <si>
    <t xml:space="preserve"> - szerkesztési díj tervezett 600e-ből</t>
  </si>
  <si>
    <t xml:space="preserve"> - példányszám csökk. Terv.830e-ből</t>
  </si>
  <si>
    <t xml:space="preserve"> </t>
  </si>
  <si>
    <t>631211 Utak fenntartása</t>
  </si>
  <si>
    <t xml:space="preserve"> - utak kátyuzására terv 2400e-ből</t>
  </si>
  <si>
    <t>Polgármesteri Hivatal összesen</t>
  </si>
  <si>
    <t>Vámospércs Általános Iskola</t>
  </si>
  <si>
    <t>805212 Pedagógiai szakszolgálat</t>
  </si>
  <si>
    <t xml:space="preserve"> - logopédus álláshelyen alacsonyabb bér</t>
  </si>
  <si>
    <t>Vámospércs Városi Önkormányzat és CKÖ 2009. évre tervezett bevételeinek és kiadásainak mérlege</t>
  </si>
  <si>
    <t>Fejezet: 1+2</t>
  </si>
  <si>
    <t>2. számú melléklet</t>
  </si>
  <si>
    <t>Sor-szám</t>
  </si>
  <si>
    <t>2008.évi terv</t>
  </si>
  <si>
    <t>2008. évi várható tény</t>
  </si>
  <si>
    <t>2009/ 2008 tény %</t>
  </si>
  <si>
    <t xml:space="preserve">Kiadások  </t>
  </si>
  <si>
    <t>Intézményi bevételek</t>
  </si>
  <si>
    <t>Önk. sajátos  műk.bevételek</t>
  </si>
  <si>
    <t>II</t>
  </si>
  <si>
    <t xml:space="preserve"> 2.2.</t>
  </si>
  <si>
    <t xml:space="preserve"> - helyi adók</t>
  </si>
  <si>
    <t xml:space="preserve"> 2.3.</t>
  </si>
  <si>
    <t xml:space="preserve"> - Átengedett központi adók</t>
  </si>
  <si>
    <t>Speciális ellátások, támogatások</t>
  </si>
  <si>
    <t xml:space="preserve"> 2.4.</t>
  </si>
  <si>
    <t xml:space="preserve"> - Bírságok, pótlékok, egyéb sajátos b.</t>
  </si>
  <si>
    <t>Véglegesen átadott péneszközök (műk-i)</t>
  </si>
  <si>
    <t>Önk. költségvetési támogatása</t>
  </si>
  <si>
    <t>Társadalom és szoc. pol. jutt.</t>
  </si>
  <si>
    <t xml:space="preserve"> 1.1.</t>
  </si>
  <si>
    <t xml:space="preserve"> - normatív hozzájárulások</t>
  </si>
  <si>
    <t>Pénzbeli kártérítés</t>
  </si>
  <si>
    <t xml:space="preserve"> 1.2.</t>
  </si>
  <si>
    <t xml:space="preserve"> - központosított előirányzatok</t>
  </si>
  <si>
    <t>Ellátottak egyéb pénzbeli juttatása</t>
  </si>
  <si>
    <t xml:space="preserve"> 1.4.</t>
  </si>
  <si>
    <t xml:space="preserve"> - normatív kötött felhasználású támog.</t>
  </si>
  <si>
    <t>IV.1.</t>
  </si>
  <si>
    <t>Támogatásértékű bevétel (működési)</t>
  </si>
  <si>
    <t>Hitelek nyújtása, törlesztése (műk-i)</t>
  </si>
  <si>
    <t>V. 1.</t>
  </si>
  <si>
    <t>Véglegesen átvett pénzeszközök (műk-i)</t>
  </si>
  <si>
    <t>Pénzforgalom nélküli kiadások</t>
  </si>
  <si>
    <t>ebből: OEP finanszírozás</t>
  </si>
  <si>
    <t>céltartalék</t>
  </si>
  <si>
    <t>VII</t>
  </si>
  <si>
    <t>Hitelek (működési célú)</t>
  </si>
  <si>
    <t>általános tartalék</t>
  </si>
  <si>
    <t>Előző évi pénzmaradvány igénybevétele</t>
  </si>
  <si>
    <t>Működési bevételek összesen:</t>
  </si>
  <si>
    <t>Közvetlen működési kiadások összesen:</t>
  </si>
  <si>
    <t>Működési hiány</t>
  </si>
  <si>
    <t>Felosztott általános kiadások</t>
  </si>
  <si>
    <t>Felhalmozási bevételek</t>
  </si>
  <si>
    <t>Működési kiadások összesen:</t>
  </si>
  <si>
    <t>I.1.</t>
  </si>
  <si>
    <t>Intézményi bevételekből felh.-i célú</t>
  </si>
  <si>
    <t>Működési többlet</t>
  </si>
  <si>
    <t>I.2.2.</t>
  </si>
  <si>
    <t>Helyi adókból felhalmozási célú</t>
  </si>
  <si>
    <t>II.1.1.</t>
  </si>
  <si>
    <t>Normatív hozzájár.-ból felh.-i célú</t>
  </si>
  <si>
    <t>Dologi jellegű kiadásokból felhalm-i</t>
  </si>
  <si>
    <t>II.1.5.</t>
  </si>
  <si>
    <t>Felhalmozási és tőkejellegű bevételek</t>
  </si>
  <si>
    <t>Tárgyi eszközök, immat.j. értékesítése</t>
  </si>
  <si>
    <t>Véglegesen átadott péneszközök (felh-i)</t>
  </si>
  <si>
    <t>Önk.-ok sajátos felh-i és tőkebevételei</t>
  </si>
  <si>
    <t>Felhalmozási kiadás és pü. befekt.</t>
  </si>
  <si>
    <t>IV.2.</t>
  </si>
  <si>
    <t>Támogatásértékű bevétel (felhalmozási)</t>
  </si>
  <si>
    <t>V. 2.</t>
  </si>
  <si>
    <t>Véglegesen átvett pénzeszközök (felh-i)</t>
  </si>
  <si>
    <t>T.kölcsön visszatér., ért.papír kibocs.bev.</t>
  </si>
  <si>
    <t>Hitelek (felhalmozási célú)</t>
  </si>
  <si>
    <t>Felhalmozási bevételek összesen:</t>
  </si>
  <si>
    <t>Felhalmozási kiadások összesen:</t>
  </si>
  <si>
    <t>Önk. és CKÖ bevétel összesen</t>
  </si>
  <si>
    <t>Önk. és CKÖ kiadás összesen</t>
  </si>
  <si>
    <t>Felhalmozási hiány</t>
  </si>
  <si>
    <t>Felhalmozási többlet</t>
  </si>
  <si>
    <t>Összes hiány</t>
  </si>
  <si>
    <t>Összes többlet</t>
  </si>
  <si>
    <t xml:space="preserve"> BEVÉTELEK ÖSSZESEN:</t>
  </si>
  <si>
    <t xml:space="preserve"> KIADÁSOK ÖSSZESEN:</t>
  </si>
  <si>
    <t>Vámospércs  Cigány Kisebbségi Önkormányzat 2009. évre tervezett bevételeinek és kiadásainak mérlege</t>
  </si>
  <si>
    <t>Fejezet: 2</t>
  </si>
  <si>
    <t>25.</t>
  </si>
  <si>
    <t>26.</t>
  </si>
  <si>
    <t>27.</t>
  </si>
  <si>
    <t>Vp. Cigány Kisebbségi Önk. Össz.</t>
  </si>
  <si>
    <t>29.</t>
  </si>
  <si>
    <t>Vámospércs Városi Önkormányzat és intézményei 2009. évre tervezett bevételeinek és kiadásainak mérlege</t>
  </si>
  <si>
    <t>Fejezet: 1</t>
  </si>
  <si>
    <t>Cím: 1-6</t>
  </si>
  <si>
    <t>ÖNK.-I BEVÉTELEK ÖSSZESEN:</t>
  </si>
  <si>
    <t>ÖNK-I KIADÁSOK ÖSSZESEN:</t>
  </si>
  <si>
    <t>Vámospércs Polgármesteri Hivatal 2009. évre tervezett bevételeinek és kiadásainak mérlege</t>
  </si>
  <si>
    <t>Cím: 1</t>
  </si>
  <si>
    <t>Helyi adókból és áteng. felhalm. célú</t>
  </si>
  <si>
    <t>Vámospércs-Újléta Közoktatási Intézményfenntartó Társulás (Iskola) 2009. évre tervezett bevételeinek és kiadásainak mérlege</t>
  </si>
  <si>
    <t>cím: 2.</t>
  </si>
  <si>
    <t>Vp-Újl. Közokt.Int. Társ. Iskola össz.</t>
  </si>
  <si>
    <t>Vámospércs-Újléta Közoktatási Intézményfenntartó Társulás (Óvoda) 2009. évre tervezett bevételeinek és kiadásainak mérlege</t>
  </si>
  <si>
    <t>Vp-Újl. Közokt.Int. Társ. Óvoda össz.</t>
  </si>
  <si>
    <t>Szociális Szolgáltató Központ 2009. évre tervezett bevételeinek és kiadásainak mérlege</t>
  </si>
  <si>
    <t>cím: 3.</t>
  </si>
  <si>
    <t>Szoc. Szolgáltató Központ összesen</t>
  </si>
  <si>
    <t>Mikrotérségi Családsegítő- és Gyermekjóléti Intézményfenntartó Társulás 2009. évre tervezett bevételeinek és kiadásainak mérlege</t>
  </si>
  <si>
    <t>cím: 4.</t>
  </si>
  <si>
    <t>Mikrotérségi Családs.- és Gy.j. Int. Társ</t>
  </si>
  <si>
    <t>Művelődési Ház és Könyvtár 2009. évre tervezett bevételeinek és kiadásainak mérlege</t>
  </si>
  <si>
    <t>cím: 5.</t>
  </si>
  <si>
    <t>Művelődési Ház és Könyvtár összesen</t>
  </si>
  <si>
    <t>Intézményi Konyhák 2009. évre tervezett bevételeinek és kiadásainak mérlege</t>
  </si>
  <si>
    <t>cím: 6.</t>
  </si>
  <si>
    <t>Intézményi Konyhák összesen</t>
  </si>
  <si>
    <t>Több éves kihatással járó kötelezettségek</t>
  </si>
  <si>
    <t>Vámospércs Város Önkormányzat 2008-2012. évi hitelállománya</t>
  </si>
  <si>
    <t>e. Ft</t>
  </si>
  <si>
    <t>Hitelt nyújtó neve</t>
  </si>
  <si>
    <t>Hitel célja</t>
  </si>
  <si>
    <t>Felvétel időpontja</t>
  </si>
  <si>
    <t>Lejárat időpontja</t>
  </si>
  <si>
    <t>Felvett hitel összege</t>
  </si>
  <si>
    <t>2008. 12.31-én fennálló tőketar-tozás</t>
  </si>
  <si>
    <t>Törlesztés összege</t>
  </si>
  <si>
    <t>2010. év</t>
  </si>
  <si>
    <t>2011. év</t>
  </si>
  <si>
    <t>2012. év</t>
  </si>
  <si>
    <t>2012.után</t>
  </si>
  <si>
    <t>Fejlesztési hitelek</t>
  </si>
  <si>
    <t>Vp. és Vidéke Tak.sz.</t>
  </si>
  <si>
    <t>Ifjúsági ház építés</t>
  </si>
  <si>
    <t xml:space="preserve">8tt. Iskola nyílászáró </t>
  </si>
  <si>
    <t xml:space="preserve">   2006.01.31.</t>
  </si>
  <si>
    <t xml:space="preserve">  2020.08.31.</t>
  </si>
  <si>
    <t>Műfüves pálya építés</t>
  </si>
  <si>
    <t xml:space="preserve">   2007.12.03.</t>
  </si>
  <si>
    <t xml:space="preserve">  2017.11.30.</t>
  </si>
  <si>
    <t>8tt.iskola bővítés</t>
  </si>
  <si>
    <t xml:space="preserve">   2007.12.21.</t>
  </si>
  <si>
    <t>Fejlesztési hitelek össz.</t>
  </si>
  <si>
    <t>Működési hitelek</t>
  </si>
  <si>
    <t>Hitel összesen</t>
  </si>
  <si>
    <t>2008. 12.31-én fennálló kamat-tozás</t>
  </si>
  <si>
    <t>kamat összege</t>
  </si>
  <si>
    <t>Egyéb kötelezettségek</t>
  </si>
  <si>
    <t>Kötelezettség megnevezése</t>
  </si>
  <si>
    <t>Kezdés időpontja</t>
  </si>
  <si>
    <t>kötelezettség összege</t>
  </si>
  <si>
    <t>Hajdúszoboszló Önk.</t>
  </si>
  <si>
    <t>IKER program működtetése</t>
  </si>
  <si>
    <t>Reg. Fejl. Beruházó és Szog. Zrt</t>
  </si>
  <si>
    <t>fűtés korszerűsítés</t>
  </si>
  <si>
    <t>Vámospércs Városi Önkormányzat kötvényállománya</t>
  </si>
  <si>
    <t>Kibocsátó</t>
  </si>
  <si>
    <t>Vámospércs Városi Önkormányzat</t>
  </si>
  <si>
    <t>Döntés alapja</t>
  </si>
  <si>
    <t>404/2007. (XII. 10.) számú képviselő-testületi határozat</t>
  </si>
  <si>
    <t>Kibocsátás időpontja</t>
  </si>
  <si>
    <t>2008. január 22.</t>
  </si>
  <si>
    <t>Kibocsátás értéke</t>
  </si>
  <si>
    <t>300.000.000.-Ft-nak megfelelő össznévértékű CHF névre szóló dematerializált kötvény</t>
  </si>
  <si>
    <t>(kibocsátáskor 1.928392 CHF)</t>
  </si>
  <si>
    <t>Megbízott fizető, szervező pénzintézet</t>
  </si>
  <si>
    <t>OTP Bank Nyrt. Budapest</t>
  </si>
  <si>
    <t>Futamidő vége</t>
  </si>
  <si>
    <t>2027. szeptember 30.</t>
  </si>
  <si>
    <t xml:space="preserve">Futamidő   </t>
  </si>
  <si>
    <t>20 év</t>
  </si>
  <si>
    <t>Kamatozás</t>
  </si>
  <si>
    <t>változó, kamatfizetés negyedévente 2008. január 22-től</t>
  </si>
  <si>
    <t>Visszafizetési kötelezettség kezdete</t>
  </si>
  <si>
    <t>2011. január 22.</t>
  </si>
  <si>
    <t>Tervezett fizetendő kamat 2009. évre</t>
  </si>
  <si>
    <t>300.000.000*5,89%= 17.670.000.-Ft (3 havi CHF LIBOR 2008. 10. 22- 2009. 01. 22.)</t>
  </si>
  <si>
    <t>Befektetésből származó kamat bevétel 2009-ben</t>
  </si>
  <si>
    <t>268.136.000*8%= 21.451.000.-Ft     (3 havi bubor - 0,75= 9,68% 2009. január 22-én)</t>
  </si>
  <si>
    <t>2008. 12. 31- ig felhalmozási célra igénybe vett kötvény összege</t>
  </si>
  <si>
    <t>28664000.-Ft</t>
  </si>
  <si>
    <t>Még felhasználható összeg 2009. évben</t>
  </si>
  <si>
    <t>271336000.-Ft</t>
  </si>
  <si>
    <t>Az önkormányzat által nyújtott közvetett támogatások 2009. évben</t>
  </si>
  <si>
    <t>A támogatás kedvezményezettje</t>
  </si>
  <si>
    <t>Tétel-szám</t>
  </si>
  <si>
    <t>Mentesség</t>
  </si>
  <si>
    <t>Kedvezmény</t>
  </si>
  <si>
    <t>Közv. tám. össz. (EFt)</t>
  </si>
  <si>
    <t>jogcíme (jellege)</t>
  </si>
  <si>
    <t>mérték (%)</t>
  </si>
  <si>
    <t>összeg (EFt)</t>
  </si>
  <si>
    <t>Végleges mentesség (70 év felett)</t>
  </si>
  <si>
    <t>magánszemélyek komm. adója</t>
  </si>
  <si>
    <t>Életkortól függő mentesség        (70 év felett)</t>
  </si>
  <si>
    <t>szemétszállítási díj</t>
  </si>
  <si>
    <t>Egyedül élő 65 év feletti kedvezmény</t>
  </si>
  <si>
    <t>ÖSSZESEN</t>
  </si>
  <si>
    <t xml:space="preserve">                                                                                                 </t>
  </si>
  <si>
    <t>Állami támogatások tervezett alakulása 2009. évre</t>
  </si>
  <si>
    <t>Kv-i tv. Sorszám</t>
  </si>
  <si>
    <t>2008.évi eredeti előirányzat</t>
  </si>
  <si>
    <t>2009.évi eredeti előirányzat</t>
  </si>
  <si>
    <t>2009-2008. év különbözete</t>
  </si>
  <si>
    <t>Mutató</t>
  </si>
  <si>
    <t>Fajl.összeg Ft</t>
  </si>
  <si>
    <t>Összeg e Ft</t>
  </si>
  <si>
    <t>1.a(1)</t>
  </si>
  <si>
    <t>Település üzemeltetési, igazgatási feladatok</t>
  </si>
  <si>
    <t>1.b</t>
  </si>
  <si>
    <t>Közösségi közlekedési feladatok</t>
  </si>
  <si>
    <t>1.c</t>
  </si>
  <si>
    <t>Települési sportfeladatok</t>
  </si>
  <si>
    <t>Körzeti igazgatási feladatok</t>
  </si>
  <si>
    <t>2.aa</t>
  </si>
  <si>
    <t xml:space="preserve">  - Körzetközpontonként, alap-hozzájárulás</t>
  </si>
  <si>
    <t>2.ab</t>
  </si>
  <si>
    <t xml:space="preserve">  -Okmányirodák műk.hez ügyi.szám v. munkaáll.</t>
  </si>
  <si>
    <t>2.ac</t>
  </si>
  <si>
    <t xml:space="preserve">  - Gyámügyi igazgatási feladatok</t>
  </si>
  <si>
    <t>2.ba</t>
  </si>
  <si>
    <t xml:space="preserve">  - Építésügyi igazgatási feladatok, térségi normatív tám.</t>
  </si>
  <si>
    <t>2.bb</t>
  </si>
  <si>
    <t xml:space="preserve">  - Kieg. Hozzárjárulás építésügyi ig. feladatokhoz </t>
  </si>
  <si>
    <t>Lakott külterülettel kapcsolatos feladatok</t>
  </si>
  <si>
    <t xml:space="preserve">Társ.-gazd. És infrastrukturális sz. elmaradott, és súlyos </t>
  </si>
  <si>
    <t>7.a(2)</t>
  </si>
  <si>
    <t>Súlyos foglalkoztatási gondokkal küzdő önk.tám.</t>
  </si>
  <si>
    <t>Pénzbeli szociális juttatások</t>
  </si>
  <si>
    <t>A lakáshoz jutás és a lakásfenntartás feladatai</t>
  </si>
  <si>
    <t>Polgármesteri Hivatal bevételei összesen</t>
  </si>
  <si>
    <t>11.ab(1)</t>
  </si>
  <si>
    <t>Családsegítés</t>
  </si>
  <si>
    <t>L/5000*3950 e Ft/2</t>
  </si>
  <si>
    <t xml:space="preserve"> - Vámospércs</t>
  </si>
  <si>
    <t xml:space="preserve"> - Újléta</t>
  </si>
  <si>
    <t xml:space="preserve"> - Nyírmártonfalva</t>
  </si>
  <si>
    <t xml:space="preserve"> - Nyíracsád</t>
  </si>
  <si>
    <t>11.ab(2)</t>
  </si>
  <si>
    <t>Gyermekjólét</t>
  </si>
  <si>
    <t>Családs.és Gyerm.j Társ   összesen 3. sz. melléklet szer.</t>
  </si>
  <si>
    <t>8.m.II.2.</t>
  </si>
  <si>
    <t>Szociális továbbképzés és szakvizsga támogatása 8. sz. m.</t>
  </si>
  <si>
    <t xml:space="preserve">Családs.és Gyermekjóléti feladat tám. Össz. </t>
  </si>
  <si>
    <t>11.da</t>
  </si>
  <si>
    <t>Házi segítségnyújtás</t>
  </si>
  <si>
    <t>Házi s. nyugd.min.150%-át meg nem haladó jövedelem</t>
  </si>
  <si>
    <t>11.db</t>
  </si>
  <si>
    <t>Házi s. nyugd.min.150%-át meghaladó jövedelem esetén</t>
  </si>
  <si>
    <t>Házi segítségnyújtás összesen</t>
  </si>
  <si>
    <t>11.e(1)</t>
  </si>
  <si>
    <t>Jelzőrendszeres házi segítségnyújt., ahol van házi segíts.</t>
  </si>
  <si>
    <t xml:space="preserve"> - Nyírábrány</t>
  </si>
  <si>
    <t>Új belépő év közben</t>
  </si>
  <si>
    <t>11.eInfo</t>
  </si>
  <si>
    <t>Jelzőrendsz. házi segítségny., amennyiben házi s.nyújtás fenntartója is</t>
  </si>
  <si>
    <t>Jelzőrendszeres házi segítségnyújtás összesen</t>
  </si>
  <si>
    <t xml:space="preserve">Családs.és Gyermekjóléti Társ. tám. Össz. </t>
  </si>
  <si>
    <t xml:space="preserve">Támogató szolgálat </t>
  </si>
  <si>
    <t>Közösségi ellátások</t>
  </si>
  <si>
    <t>11.h</t>
  </si>
  <si>
    <t>Időskorúak nappali intézményi ellátása</t>
  </si>
  <si>
    <t>Időskorúak nappali intézményi ellátása összesen</t>
  </si>
  <si>
    <t>11.c</t>
  </si>
  <si>
    <t>Szociális étkeztetés</t>
  </si>
  <si>
    <t>11.ca</t>
  </si>
  <si>
    <t>Szoc. Étk. nyugd.min.150%-át el nem érő jövedelem esetén</t>
  </si>
  <si>
    <t>11.cb</t>
  </si>
  <si>
    <t>Szociális étkeztetés nyugd.min.150-300-át meg nem haladó</t>
  </si>
  <si>
    <t>11.cc</t>
  </si>
  <si>
    <t>Szociális étkeztetés nyugd.min.300%-át meghaladó jöv.</t>
  </si>
  <si>
    <t>Szociális étkeztetés összesen</t>
  </si>
  <si>
    <t>12.bca</t>
  </si>
  <si>
    <t>Időskorúak ápoló-gondozó otthoni ellátása</t>
  </si>
  <si>
    <t>12.bcaa</t>
  </si>
  <si>
    <t>2007. dec.-ben részesült hozzájárulásban</t>
  </si>
  <si>
    <t>12.bcab</t>
  </si>
  <si>
    <t>Nyugdíjmin. 150%-át meg nem haladó jövedelem esetén</t>
  </si>
  <si>
    <t>12.bcac</t>
  </si>
  <si>
    <t>Nyugdíjmin. 150%-át meghaladó jövedelem esetén</t>
  </si>
  <si>
    <t>Időskorúak ápoló-gondozó otthoni ellátása összesen</t>
  </si>
  <si>
    <t>Szoc. Szolg. Központ tám. Össz. 3.sz melléklet szer.</t>
  </si>
  <si>
    <t>Szociális továbbképzés és szakvizsga támogatása 8.sz.m.</t>
  </si>
  <si>
    <t xml:space="preserve">Szoc. Szolg. Központ tám. Össz. </t>
  </si>
  <si>
    <t>9.a</t>
  </si>
  <si>
    <t>Helyi közművelődési és közgyűjteményi feladatok</t>
  </si>
  <si>
    <t>Művelődési Ház normatív támogatása összesen</t>
  </si>
  <si>
    <t>Közoktatási alap-hozzájárulás</t>
  </si>
  <si>
    <t>15.a</t>
  </si>
  <si>
    <t>Óvoda (napi 8 órát meghaladó nyitvatartás esetén)</t>
  </si>
  <si>
    <t xml:space="preserve">  - Óvodai 1.nev.év aug. 31-ig Vp. 48/20*1,62=3,9*2550e/12*8=6630</t>
  </si>
  <si>
    <t xml:space="preserve">  - Óvodai 1.nev.év aug. 31-ig Újl. 13/20*1,62=1,0*2550e/12*8=1700</t>
  </si>
  <si>
    <t xml:space="preserve">  - Óvodai 2-3nev.év aug. 31-ig Vp. 199/17*1,62=19*2550e/12*8=6630</t>
  </si>
  <si>
    <t xml:space="preserve">  - Óvodai 2-3.nev.év aug. 31-ig Újl. 43/20*1,62=4,1*2550e/12*8=6970</t>
  </si>
  <si>
    <t xml:space="preserve">  - Óvodai 1-2.nev.év  09.01-től Vp. 107/20*1,62=8,7*2550e/12*4=7395</t>
  </si>
  <si>
    <t xml:space="preserve">  - Óvodai 1-2.nev.év  09.01-től Újl. 26/20*1,62=2,1*2550e/12*4=1785</t>
  </si>
  <si>
    <t xml:space="preserve">  - Óvodai 3nev.év  09.01-től Vp. 137/17*1,62=13*2550e/12*4=11050</t>
  </si>
  <si>
    <t xml:space="preserve">  - Óvodai 3nev.év  09.01-től Újl. 30/17*1,62=2,9*2550e/12*4=2465</t>
  </si>
  <si>
    <t>15.a(3)1</t>
  </si>
  <si>
    <t xml:space="preserve"> - 1-2.nev. év 01.01-08.31-ig Vp.133/20*1,62=10,8*2550e/12*8=</t>
  </si>
  <si>
    <t xml:space="preserve"> - 1-2.nev. év 01.01-08.31-ig Újl.31/20*1,62=2,5*2550e/12*8=</t>
  </si>
  <si>
    <t>15.a(4)1</t>
  </si>
  <si>
    <t xml:space="preserve">  - 3nev.év  01.01-08.31-ig Vp. 99/17*1,62=9,4*2550e/12*8=</t>
  </si>
  <si>
    <t xml:space="preserve">  - 3nev.év  01.01-08.31-ig Újl. 28/17*1,62=2,7*2550e/12*8=</t>
  </si>
  <si>
    <t>15.a(2)2</t>
  </si>
  <si>
    <t xml:space="preserve"> - 1-3. nev. év 09.01-12.31-ig Vp. 230/20*1,62=18,6*2540e/12*4=</t>
  </si>
  <si>
    <t xml:space="preserve"> - 1-3. nev. év 09.01-12.31-ig Újl. 50/20*1,62=4,1*2540e/12*4=</t>
  </si>
  <si>
    <t>Alap-normatíva összesen</t>
  </si>
  <si>
    <t>16.3.(8)1</t>
  </si>
  <si>
    <t>Kizárólag magyar nyelven folyó roma oktatás Újl.01.01-08.31-ig</t>
  </si>
  <si>
    <t>16.3.(8)2</t>
  </si>
  <si>
    <t>Kizárólag magyar nyelven folyó roma oktatás Újl.09.01-12.31-ig</t>
  </si>
  <si>
    <t>Etnikai oktatás tám. Össz.</t>
  </si>
  <si>
    <t>16.6.2.b(2)1</t>
  </si>
  <si>
    <t>Int-i társulásba járó óv. gy. Újl. 8hóra</t>
  </si>
  <si>
    <t>Int-i társulásba járó óv. gy. Újl. 4hóra</t>
  </si>
  <si>
    <t>Int-i társulásba járó óv. gy. Újl. 01.01-08.31-ig</t>
  </si>
  <si>
    <t>16.6.2.b(2)2</t>
  </si>
  <si>
    <t>Int-i társulásba járó óv. gy. Újl. 09.01-12.31-ig</t>
  </si>
  <si>
    <t>Társulásba bejárók támogatása össz.</t>
  </si>
  <si>
    <t>Óvodai nevelés kv-i tám. Össz. 3. sz. melléklet szerint</t>
  </si>
  <si>
    <t>8.m.I.1.</t>
  </si>
  <si>
    <t xml:space="preserve">  - Ped. szakvizsga és továbbképzés Vp. óv.01.01-012.31-ig</t>
  </si>
  <si>
    <t xml:space="preserve">  - Ped. szakvizsga és továbbképzés Újl. óv.01.01-12.31-ig</t>
  </si>
  <si>
    <t xml:space="preserve">  - Ped. szakvizsga és továbbképzés Vp. óv.01.01-08.31-ig</t>
  </si>
  <si>
    <t xml:space="preserve">  - Ped. szakvizsga és továbbképzés Újl. óv.01.01-08.31-ig</t>
  </si>
  <si>
    <t xml:space="preserve">  - Ped. szakvizsga és továbbképzés Vp. óv.09.01-12.31-ig</t>
  </si>
  <si>
    <t xml:space="preserve">  - Ped. szakvizsga és továbbképzés Újl. óv.09.01-12.31-ig</t>
  </si>
  <si>
    <t>Óv. kötött felhasználású tám. összesen</t>
  </si>
  <si>
    <t>Óvodai neveléshez kapcsolódó támogatás összesen</t>
  </si>
  <si>
    <t xml:space="preserve"> - kedvezm. Óv. étk. Vp. 8 hóra</t>
  </si>
  <si>
    <t xml:space="preserve"> - kedvezm. Isk. étk. Újl. 8 hóra</t>
  </si>
  <si>
    <t xml:space="preserve"> - kedvezm. Óv. étk. Vp. 4 hóra</t>
  </si>
  <si>
    <t xml:space="preserve"> - kedvezm. Óv. étk. Újl. 4 hóra</t>
  </si>
  <si>
    <t>17.1.a(2)</t>
  </si>
  <si>
    <t>Kedvezményes étkeztetés Vp. Óvodában</t>
  </si>
  <si>
    <t>Kedvezményes étkeztetés Újl. Óvodában</t>
  </si>
  <si>
    <t>Óvodások étkeztetési támogatása összesen</t>
  </si>
  <si>
    <t>Óvoda állami támogatás összesen</t>
  </si>
  <si>
    <t xml:space="preserve">  - Isk. okt. 1. o.08.31-igVp. 94/21*1,2=5,4*2550/12*8=9180</t>
  </si>
  <si>
    <t xml:space="preserve">  - Isk. okt. 1. o.08.31-igÚjl. 21/21*1,2=1,2*2550/12*8=2040</t>
  </si>
  <si>
    <t xml:space="preserve">  - Isk. okt. 2-3. o.08.31-igVp. 160/17*1,22=11,5*2550/12*8=19550</t>
  </si>
  <si>
    <t xml:space="preserve">  - Isk. okt.2-3. o.08.31-igÚjl. 32/21*1,2=2,3*2550/12*8=3910</t>
  </si>
  <si>
    <t xml:space="preserve">  - Isk. okt. 4. o.08.31-igVp. 66/16*1,39=5,7*2550/12*8=9690</t>
  </si>
  <si>
    <t xml:space="preserve">  - Isk. okt. 4. o.08.31-ig Újl. 15/16*1,39=1,3*2550/12*8=2210</t>
  </si>
  <si>
    <t xml:space="preserve">  - Isk. okt. 5. o.08.31-igVp. 73/23*1,55=4,9*2550/12*8=9330</t>
  </si>
  <si>
    <t xml:space="preserve">  - Isk. okt. 5. o.08.31-igÚjl. 22/23*1,55=1,5*2550/12*8=2550</t>
  </si>
  <si>
    <t xml:space="preserve">  - Isk. okt. 6. o.08.31-igVp. 67/20*1,55=5,2*2550/12*8=8840</t>
  </si>
  <si>
    <t xml:space="preserve">  - Isk. okt. 6. o.08.31-igÚjl. 15/20*1,55=1,2*2550/12*8=2040</t>
  </si>
  <si>
    <t xml:space="preserve">  - Isk. okt. 7-8. o.08.31-igVp. 135/20*1,76=11,9*2550/12*8=20230</t>
  </si>
  <si>
    <t xml:space="preserve">  - Isk. okt. 7-8. o.08.31-ig Újl. 31/20*1,76=2,7*2550/12*8=4590</t>
  </si>
  <si>
    <t xml:space="preserve">  - Isk. okt. 1-2. o.09.01-tőlVp. 178/21*1,2=10,2*2550/12*4=8670</t>
  </si>
  <si>
    <t xml:space="preserve">  - Isk. okt. 1-2. o.09.01-tőlÚjl. 42/21*1,2=2,4*2550/12*4=2040</t>
  </si>
  <si>
    <t xml:space="preserve">  - Isk. okt. 3. o.09.01-tőlVp. 80/17*1,22=5,7*2550/12*4=4845</t>
  </si>
  <si>
    <t xml:space="preserve">  - Isk. okt. 3. o.09.01-tőlÚjl. 16/17*1,22=1,2*2550/12*4=1020</t>
  </si>
  <si>
    <t xml:space="preserve">  - Isk. okt. 4. o.09.01-től Vp. 80/16*1,39=6,9*2550/12*4=5865</t>
  </si>
  <si>
    <t xml:space="preserve">  - Isk. okt. 4. o.09.01-től Újl. 16/16*1,39=1,4*2550/12*4=1190</t>
  </si>
  <si>
    <t xml:space="preserve">  - Isk. okt. 5-6. o.09.01-től Vp. 134/23*1,55=9*2550/12*4=7650</t>
  </si>
  <si>
    <t xml:space="preserve">  - Isk. okt. 5-6. o.09.01-től Újl. 37/23*1,55=2,5*2550/12*4=2125</t>
  </si>
  <si>
    <t xml:space="preserve">  - Isk. okt. 7-8. o.09. 01-tőlVp. 136/20*1,76=12*2550/12*4=10200</t>
  </si>
  <si>
    <t xml:space="preserve">  - Isk. okt. 7-8. o.09. 01-tőlVp. 30/20*1,76=2,6*2550/12*4=2210</t>
  </si>
  <si>
    <t>15.b(2)1</t>
  </si>
  <si>
    <t xml:space="preserve">  - Isk. okt. 1-2. o.08.31-igVp. 149/21*1,2=8,5*2550/12*8=14.450</t>
  </si>
  <si>
    <t xml:space="preserve">  - Isk. okt. 1-2. o.08.31-igÚjl. 34/21*1,2=2*2550/12*8=3400</t>
  </si>
  <si>
    <t>15.b(3)1</t>
  </si>
  <si>
    <t xml:space="preserve">  - Isk. okt. 3. o.08.31-igVp. 77/17*1,22=5,7*2550/12*8=9690</t>
  </si>
  <si>
    <t xml:space="preserve">  - Isk. okt. 3. o.08.31-igÚjl. 17/17*1,22=1,0*2550/12*8=1700</t>
  </si>
  <si>
    <t>15.b(4)1</t>
  </si>
  <si>
    <t xml:space="preserve">  - Isk. okt. 4. o.08.31-ig Vp. 78/16*1,39=6,8*2550/12*8=11560</t>
  </si>
  <si>
    <t xml:space="preserve">  - Isk. okt. 4. o.08.31-ig Újl. 16/16*1,39=1,4*2550/12*8=2380</t>
  </si>
  <si>
    <t>15.b(6)1</t>
  </si>
  <si>
    <t xml:space="preserve">  - Isk. okt. 5-6. o.08.31-ig Vp. 139/23*1,55=9,4*2550/12*8=15980</t>
  </si>
  <si>
    <t xml:space="preserve">  - Isk. okt. 5-6. o.08.31-ig Újl. 39/23*1,55=2,6*2550/12*8=4420</t>
  </si>
  <si>
    <t>15.b(7)1</t>
  </si>
  <si>
    <t xml:space="preserve">  - Isk. okt. 7-8. o.08. 31-igVp. 128/20*1,76=11,3*2550/12*8=19210</t>
  </si>
  <si>
    <t>15.b(8)1</t>
  </si>
  <si>
    <t xml:space="preserve">  - Isk. okt. 7-8. o.08. 31-igVp. 31/20*1,76=2,7*2550/12*8=4590</t>
  </si>
  <si>
    <t>15.b(2)2</t>
  </si>
  <si>
    <t xml:space="preserve">  - Isk. okt. 1-2. o.09.01-tőlVp. 130/21*1,2=7,4*2540/12*4=</t>
  </si>
  <si>
    <t xml:space="preserve">  - Isk. okt. 1-2. o.09.01-tőlÚjl. 35/21*1,2=2,0*2540/12*4=</t>
  </si>
  <si>
    <t>15.b(3)2</t>
  </si>
  <si>
    <t xml:space="preserve">  - Isk. okt. 3. o.09.01-tőlVp. 94/21*1,22=5,5*2540/12*4=</t>
  </si>
  <si>
    <t xml:space="preserve">  - Isk. okt. 3. o.09.01-tőlÚjl. 18/21*1,22=1,0*2540/12*4=</t>
  </si>
  <si>
    <t>15.b(4)2</t>
  </si>
  <si>
    <t xml:space="preserve">  - Isk. okt. 4. o.09.01-től Vp. 76/16*1,39=6,6*2540/12*4=</t>
  </si>
  <si>
    <t xml:space="preserve">  - Isk. okt. 4. o.09.01-től Újl. 17/16*1,39=1,5*2540/12*4=</t>
  </si>
  <si>
    <t>15.b(6)2</t>
  </si>
  <si>
    <t xml:space="preserve">  - Isk. okt. 5-6. o.09.01-től Vp. 143/23*1,55=9,6*2540/12*4=</t>
  </si>
  <si>
    <t xml:space="preserve">  - Isk. okt. 5-6. o.09.01-től Újl. 31/23*1,55=2,1*2540/12*4=</t>
  </si>
  <si>
    <t>15.b(7)2</t>
  </si>
  <si>
    <t xml:space="preserve">  - Isk. okt. 7. o.09. 01-tőlVp. 69/23*1,76=5,3*2540/12*4=</t>
  </si>
  <si>
    <t xml:space="preserve">  - Isk. okt. 7. o.09. 01-tőlVp. 24/23*1,76=1,8*2540/12*4=</t>
  </si>
  <si>
    <t>15.b(8)2</t>
  </si>
  <si>
    <t xml:space="preserve">  - Isk. okt. 8. o.09. 01-tőlVp. 64/20*1,76=5,7*2540/12*4=</t>
  </si>
  <si>
    <t xml:space="preserve">  - Isk. okt. 8. o.09. 01-tőlVp. 15/20*1,76=1,3*2540/12*4=</t>
  </si>
  <si>
    <t>Általános Iskolai oktatás alapnormatíva összesen</t>
  </si>
  <si>
    <t>Alapfokú művészeti okt. zeneműv.ágon nem min. intézményben Vp.</t>
  </si>
  <si>
    <t>52/8*0,17=1,1*2550/12*4=935.500.-</t>
  </si>
  <si>
    <t>Alapfokú művészeti okt. egyéb műv.ágon nem min. intézményben Vp.</t>
  </si>
  <si>
    <t>185/10*0,08=1,5*2550/12*4=1275.000.-</t>
  </si>
  <si>
    <t>Alapfokú művészeti okt. egyéb műv.ágon nem min. intézményben Újl.</t>
  </si>
  <si>
    <t>100/10*0,08=0,8*2550/12*4=680.000</t>
  </si>
  <si>
    <t>15.e(3)1</t>
  </si>
  <si>
    <t>aug. 31-ig 52/8*0,17=1,1*2550/12*8=1870.000</t>
  </si>
  <si>
    <t>15.e(6)1</t>
  </si>
  <si>
    <t>aug. 31-ig185/10*0,08=1,5*2550/12*8=2550.000</t>
  </si>
  <si>
    <t>aug. 31-ig 100/10*0,08=0,8*2550/12*8=1360.000</t>
  </si>
  <si>
    <t>15.e(6)2</t>
  </si>
  <si>
    <t>09.01-től 210/10*0,08=1,7*2540/12*4=1.439.3337Ft</t>
  </si>
  <si>
    <t>100/10*0,08=0,8*2540/12*4=677.333.-Ft</t>
  </si>
  <si>
    <t>15.e(3)2</t>
  </si>
  <si>
    <t>50/8*0,17=1,1*2540/12*4=931.333.-Ft</t>
  </si>
  <si>
    <t>Alapfokú művészeti oktatás összesen</t>
  </si>
  <si>
    <t xml:space="preserve">  - Napközi fogl.az ált.iskola 1-8.évfolyamán</t>
  </si>
  <si>
    <t xml:space="preserve">  - Napközi fogl.az ált.iskola 1-8.évfolyamán Vp. 8hóra</t>
  </si>
  <si>
    <t xml:space="preserve">  - Napközi fogl.az ált.iskola 1-8.évfolyamán Újl. 8hóra</t>
  </si>
  <si>
    <t xml:space="preserve">  - Napk.fogl.az ált.iskola 1-4.évf Vp. 4hóra 219/25*0,23=2,0*2550/12*4</t>
  </si>
  <si>
    <t xml:space="preserve">  - Napk.fogl.az ált.iskola 1-4.évf Újl. 4hóra 66/25*023=0,7*2550/12*5</t>
  </si>
  <si>
    <t xml:space="preserve">  - Napk.fogl.az ált.iskola 5-8.évf Vp. 4hóra 16/25*0,15=0,1*2550/12*4</t>
  </si>
  <si>
    <t xml:space="preserve">  - Napk.fogl.az ált.iskola 5-8.évf Újl. 4hóra 54/25*0,15=0,3*2550/12*4</t>
  </si>
  <si>
    <t xml:space="preserve">  - Iskolaotthonos foglalkoztatás Vp. 1-4o.8hóra</t>
  </si>
  <si>
    <t xml:space="preserve">  - Iskotth foglal. Vp. 1-2o.4hóra 95/21*0,27=1,2*2550/12*4</t>
  </si>
  <si>
    <t>15.g(1)1</t>
  </si>
  <si>
    <t xml:space="preserve">  - Napk.fogl.az ált.iskola 1-4.évf Vp. 8hóra 127/25*0,23=1,2*2550/12*8</t>
  </si>
  <si>
    <t xml:space="preserve">  - Napk.fogl.az ált.iskola 1-4.évf Újl. 8hóra 63/25*023=0,6*2550/12*8</t>
  </si>
  <si>
    <t>15.g(2)1</t>
  </si>
  <si>
    <t xml:space="preserve">  - Napk.fogl.az ált.iskola 5-8.évf Vp. 8hóra 17/25*0,15=0,1*2550/12*8</t>
  </si>
  <si>
    <t xml:space="preserve">  - Napk.fogl.az ált.iskola 5-8.évf Újl. 8hóra 52/25*0,15=0,3*2550/12*8</t>
  </si>
  <si>
    <t>15.g(3)1</t>
  </si>
  <si>
    <t xml:space="preserve">  - Iskotth foglal. Vp. 1-2o.8hóra 73/21*0,27=0,9*2550/12*8</t>
  </si>
  <si>
    <t>15.g(3)2</t>
  </si>
  <si>
    <t xml:space="preserve">  - Iskotth foglal. Vp. 1-3o.4hóra 70/21*0,27=1,2*2540/12*4</t>
  </si>
  <si>
    <t>15.g(1)2</t>
  </si>
  <si>
    <t xml:space="preserve">  - Napk.fogl.az ált.iskola 1-4.évf Vp. 4hóra 120/25*0,24=1,1*2540/12*4</t>
  </si>
  <si>
    <t xml:space="preserve">  - Napk.fogl.az ált.iskola 1-4.évf Újl. 4hóra 60/25*0,24=0,6*2540/12*4</t>
  </si>
  <si>
    <t>15.g(2)2</t>
  </si>
  <si>
    <t xml:space="preserve">  - Napk.fogl.az ált.iskola 5-8.évf Vp. 4hóra 17/25*0,16=0,1*2540/12*4</t>
  </si>
  <si>
    <t xml:space="preserve">  - Napk.fogl.az ált.iskola 5-8.évf Újl. 4hóra 50/25*0,16=0,3*2540/12*4</t>
  </si>
  <si>
    <t>Napközis, tanulószobai, iskolaotthoni foglalkozás össz.</t>
  </si>
  <si>
    <t>Sajátos nevelési igényű gyerekek,tanulók nevelési, okt.</t>
  </si>
  <si>
    <t xml:space="preserve"> - Gyógyped. SNI magánt. 4 hóra Vp.</t>
  </si>
  <si>
    <t xml:space="preserve"> - Gyógyped. SNI magánt. 8 hóra Vp.</t>
  </si>
  <si>
    <t xml:space="preserve"> - Gyógyped. SNI testi fogy. 8 hóra Vp.</t>
  </si>
  <si>
    <t xml:space="preserve"> - Gyógyped. SNI testi fogy. 4 hóra Vp.</t>
  </si>
  <si>
    <t xml:space="preserve"> - Gyógyped. SNI beszéd fogy. 8 hóra Vp.</t>
  </si>
  <si>
    <t xml:space="preserve"> - Gyógyped. SNI beszéd fogy. 8 hóra Újl.</t>
  </si>
  <si>
    <t xml:space="preserve"> - Gyógyped. SNI beszéd fogy. 4 hóra Vp.</t>
  </si>
  <si>
    <t xml:space="preserve"> - Gyógyped. SNI beszéd fogy. 4 hóra Újl.</t>
  </si>
  <si>
    <t>16.2.1.a(2)1</t>
  </si>
  <si>
    <t>16.2.1.a(2)2</t>
  </si>
  <si>
    <t>16.2.1.c(3)1</t>
  </si>
  <si>
    <t xml:space="preserve"> - Gyógyped. SNI testi fogy. 8 hóra Újl.</t>
  </si>
  <si>
    <t>16.2.1.c(3)2</t>
  </si>
  <si>
    <t xml:space="preserve"> - Gyógyped. SNI testi fogy. 4 hóra Vp. 160%</t>
  </si>
  <si>
    <t xml:space="preserve"> - Gyógyped. SNI testi fogy. 4 hóra Újl. 160%</t>
  </si>
  <si>
    <t>16.2.1.e(3)1</t>
  </si>
  <si>
    <t xml:space="preserve"> - Gyógyped. SNI megismerő funk. miatt 8 hóra Vp.</t>
  </si>
  <si>
    <t xml:space="preserve"> - Gyógyped. SNI megismerő funk. miatt 8 hóra Újl.</t>
  </si>
  <si>
    <t>16.2.1.e(3)2</t>
  </si>
  <si>
    <t xml:space="preserve"> - Gyógyped. SNI megismerő funk. miatt 4 hóra Vp. 60%</t>
  </si>
  <si>
    <t xml:space="preserve"> - Gyógyped. SNI megismerő funk. miatt 4 hóra Újl. 60%</t>
  </si>
  <si>
    <t>Sajátos nev.igényű gyerekek,tanulók nevelési, okt.össz</t>
  </si>
  <si>
    <t xml:space="preserve">kizárólag m.ny.roma okt. Újl. 8 hóra </t>
  </si>
  <si>
    <t xml:space="preserve">kizárólag m.ny.roma okt. Újl. 4 hóra </t>
  </si>
  <si>
    <t>16.3.(9)1</t>
  </si>
  <si>
    <t>16.3.(9)2</t>
  </si>
  <si>
    <t>kizárólag m.ny.roma okt. összesen</t>
  </si>
  <si>
    <t>Kieg.hozzájárulás egyéb közoktatási feladatokhoz</t>
  </si>
  <si>
    <t>Int-i társulásba járó isk. gy. Újl. 8hóra</t>
  </si>
  <si>
    <t>Int-i társulásba járó isk. gy. Újl. 4hóra</t>
  </si>
  <si>
    <t>16.6.2.b(3)1</t>
  </si>
  <si>
    <t>Int-i társulásba járó isk. gy. Újl. 8hóra 1-4. évfolyam</t>
  </si>
  <si>
    <t>16.6.2.b(4)1</t>
  </si>
  <si>
    <t>Int-i társulásba járó isk. gy. Újl. 8hóra 5. évfolyam</t>
  </si>
  <si>
    <t>16.6.2.b(5)1</t>
  </si>
  <si>
    <t>Int-i társulásba járó isk. gy. Újl. 8hóra 6-8. évfolyam</t>
  </si>
  <si>
    <t>16.6.2.b(3)2</t>
  </si>
  <si>
    <t>Int-i társulásba járó isk. gy. Újl. 4hóra 1-4. évfolyam</t>
  </si>
  <si>
    <t>16.6.2.b(4)2</t>
  </si>
  <si>
    <t>Int-i társulásba járó isk. gy. Újl. 4hóra 5. évfolyam</t>
  </si>
  <si>
    <t>16.6.2.b(5)2</t>
  </si>
  <si>
    <t>Int-i társulásba járó isk. gy. Újl. 4hóra 6-8. évfolyam</t>
  </si>
  <si>
    <t>Int-i társulásba járó isk. gy. Újl.össz.</t>
  </si>
  <si>
    <t xml:space="preserve"> - kedvezm. Isk. étk. Vp. 8 hóra</t>
  </si>
  <si>
    <t xml:space="preserve"> - kedvezm. Isk. étk. Vp. 4 hóra</t>
  </si>
  <si>
    <t xml:space="preserve"> - kedvezm. Isk. étk. Újl. 4 hóra</t>
  </si>
  <si>
    <t xml:space="preserve"> - kieg.kedvezm. Isk. étk. 5. o. Vp.. 4 hóra</t>
  </si>
  <si>
    <t xml:space="preserve"> - kieg.kedvezm. Isk. étk. 5. o. Újl.. 4 hóra</t>
  </si>
  <si>
    <t>17.1.a(3)</t>
  </si>
  <si>
    <t>Kedvezményes étkeztetés Vp. Iskolában</t>
  </si>
  <si>
    <t>Kedvezményes étkeztetés Újl. Iskolában</t>
  </si>
  <si>
    <t>17.1.b</t>
  </si>
  <si>
    <t>Kieg.hozzájár.5-6.évfoly.rendszeres gy.véd.tám.-ban r.Vp.</t>
  </si>
  <si>
    <t>Kieg.hozzájár.5-6.évfoly.rendszeres gy.véd.tám.-ban r.Újl.</t>
  </si>
  <si>
    <t>Étkeztetési támogatás összesen</t>
  </si>
  <si>
    <t xml:space="preserve">  - Általános tankönyvtámogatás Vp.</t>
  </si>
  <si>
    <t xml:space="preserve">  - Általános tankönyvtámogatás Újl.</t>
  </si>
  <si>
    <t xml:space="preserve">  - Tanulók tankönyvtám.rászorultsági alapon Vp.</t>
  </si>
  <si>
    <t xml:space="preserve">  - Tanulók tankönyvtám.rászorultsági alapon Újl.</t>
  </si>
  <si>
    <t>17.2.b</t>
  </si>
  <si>
    <t>17.2.a</t>
  </si>
  <si>
    <t>Tanulók tankönyvtámogatása összesen</t>
  </si>
  <si>
    <t>Iskola 3. számú melléklet összesen</t>
  </si>
  <si>
    <t>3.számú melléklet összesen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</si>
</sst>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_);\(#,##0\)"/>
    <numFmt numFmtId="166" formatCode="0_)"/>
    <numFmt numFmtId="167" formatCode="0.0_)"/>
    <numFmt numFmtId="168" formatCode="#,##0.0_);\(#,##0.0\)"/>
    <numFmt numFmtId="169" formatCode="#,##0.00_);\(#,##0.00\)"/>
    <numFmt numFmtId="170" formatCode="#,##0.000_);\(#,##0.000\)"/>
    <numFmt numFmtId="171" formatCode="#,##0.0"/>
    <numFmt numFmtId="172" formatCode="#,##0.000"/>
    <numFmt numFmtId="173" formatCode="#,###"/>
    <numFmt numFmtId="174" formatCode="_-* #,##0.000\ _F_t_-;\-* #,##0.000\ _F_t_-;_-* &quot;-&quot;??\ _F_t_-;_-@_-"/>
    <numFmt numFmtId="175" formatCode="_-* #,##0.0\ _F_t_-;\-* #,##0.0\ _F_t_-;_-* &quot;-&quot;??\ _F_t_-;_-@_-"/>
    <numFmt numFmtId="176" formatCode="0.000"/>
    <numFmt numFmtId="177" formatCode="0.0000"/>
    <numFmt numFmtId="178" formatCode="#,##0.00\ _F_t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yyyy\.mm\.dd"/>
    <numFmt numFmtId="183" formatCode="0.0%"/>
    <numFmt numFmtId="184" formatCode="#,###.#"/>
    <numFmt numFmtId="185" formatCode="##,###"/>
    <numFmt numFmtId="186" formatCode="[$-40E]yyyy\.\ mmmm\ d\."/>
    <numFmt numFmtId="187" formatCode="_-* #,##0\ _F_t_-;\-* #,##0\ _F_t_-;_-* &quot;-&quot;??\ _F_t_-;_-@_-"/>
    <numFmt numFmtId="188" formatCode="#,##0_ ;\-#,##0\ "/>
    <numFmt numFmtId="189" formatCode="0__"/>
    <numFmt numFmtId="190" formatCode="00"/>
  </numFmts>
  <fonts count="61">
    <font>
      <sz val="10"/>
      <name val="Arial"/>
      <family val="0"/>
    </font>
    <font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Arial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7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0"/>
    </font>
    <font>
      <b/>
      <i/>
      <sz val="11"/>
      <name val="Times New Roman"/>
      <family val="1"/>
    </font>
    <font>
      <b/>
      <i/>
      <sz val="11"/>
      <name val="Times New Roman CE"/>
      <family val="1"/>
    </font>
    <font>
      <i/>
      <sz val="11"/>
      <name val="Times New Roman"/>
      <family val="1"/>
    </font>
    <font>
      <i/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 CE"/>
      <family val="0"/>
    </font>
    <font>
      <b/>
      <sz val="7"/>
      <name val="Times New Roman CE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2"/>
      <name val="Times New Roman CE"/>
      <family val="0"/>
    </font>
    <font>
      <b/>
      <i/>
      <sz val="8"/>
      <name val="Times New Roman CE"/>
      <family val="0"/>
    </font>
    <font>
      <i/>
      <sz val="8"/>
      <name val="Times New Roman CE"/>
      <family val="0"/>
    </font>
    <font>
      <vertAlign val="superscript"/>
      <sz val="9"/>
      <name val="Times New Roman CE"/>
      <family val="0"/>
    </font>
    <font>
      <vertAlign val="superscript"/>
      <sz val="10"/>
      <name val="Times New Roman CE"/>
      <family val="0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color indexed="9"/>
      <name val="Times New Roman"/>
      <family val="1"/>
    </font>
    <font>
      <b/>
      <i/>
      <sz val="12"/>
      <name val="Times New Roman"/>
      <family val="1"/>
    </font>
    <font>
      <b/>
      <sz val="14"/>
      <color indexed="63"/>
      <name val="Times New Roman"/>
      <family val="1"/>
    </font>
    <font>
      <b/>
      <sz val="10"/>
      <color indexed="63"/>
      <name val="Times New Roman"/>
      <family val="1"/>
    </font>
    <font>
      <b/>
      <i/>
      <sz val="10"/>
      <color indexed="63"/>
      <name val="Times New Roman"/>
      <family val="1"/>
    </font>
    <font>
      <sz val="10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i/>
      <sz val="8"/>
      <color indexed="63"/>
      <name val="Times New Roman"/>
      <family val="1"/>
    </font>
    <font>
      <i/>
      <sz val="10"/>
      <color indexed="63"/>
      <name val="Times New Roman"/>
      <family val="1"/>
    </font>
    <font>
      <b/>
      <i/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vertAlign val="superscript"/>
      <sz val="12"/>
      <name val="Times New Roman CE"/>
      <family val="0"/>
    </font>
    <font>
      <b/>
      <vertAlign val="superscript"/>
      <sz val="12"/>
      <name val="Times New Roman CE"/>
      <family val="0"/>
    </font>
    <font>
      <b/>
      <sz val="14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7" fillId="0" borderId="0">
      <alignment vertical="center"/>
      <protection/>
    </xf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8">
    <xf numFmtId="0" fontId="0" fillId="0" borderId="0" xfId="0" applyAlignment="1">
      <alignment/>
    </xf>
    <xf numFmtId="0" fontId="9" fillId="0" borderId="0" xfId="22" applyFont="1">
      <alignment/>
      <protection/>
    </xf>
    <xf numFmtId="0" fontId="1" fillId="0" borderId="0" xfId="22" applyFont="1" applyAlignment="1">
      <alignment vertical="center"/>
      <protection/>
    </xf>
    <xf numFmtId="0" fontId="1" fillId="0" borderId="0" xfId="22" applyFont="1">
      <alignment/>
      <protection/>
    </xf>
    <xf numFmtId="0" fontId="1" fillId="0" borderId="1" xfId="22" applyFont="1" applyBorder="1" applyAlignment="1">
      <alignment vertical="center" shrinkToFit="1"/>
      <protection/>
    </xf>
    <xf numFmtId="0" fontId="1" fillId="0" borderId="1" xfId="22" applyFont="1" applyBorder="1" applyAlignment="1">
      <alignment vertical="center"/>
      <protection/>
    </xf>
    <xf numFmtId="0" fontId="12" fillId="0" borderId="0" xfId="22" applyFont="1">
      <alignment/>
      <protection/>
    </xf>
    <xf numFmtId="0" fontId="4" fillId="0" borderId="2" xfId="22" applyFont="1" applyBorder="1" applyAlignment="1">
      <alignment vertical="center"/>
      <protection/>
    </xf>
    <xf numFmtId="3" fontId="4" fillId="0" borderId="3" xfId="22" applyNumberFormat="1" applyFont="1" applyBorder="1" applyAlignment="1">
      <alignment horizontal="center"/>
      <protection/>
    </xf>
    <xf numFmtId="3" fontId="4" fillId="0" borderId="3" xfId="22" applyNumberFormat="1" applyFont="1" applyBorder="1" applyAlignment="1">
      <alignment/>
      <protection/>
    </xf>
    <xf numFmtId="3" fontId="4" fillId="0" borderId="3" xfId="22" applyNumberFormat="1" applyFont="1" applyFill="1" applyBorder="1" applyAlignment="1">
      <alignment/>
      <protection/>
    </xf>
    <xf numFmtId="0" fontId="4" fillId="0" borderId="0" xfId="22" applyFont="1">
      <alignment/>
      <protection/>
    </xf>
    <xf numFmtId="0" fontId="1" fillId="0" borderId="4" xfId="22" applyFont="1" applyBorder="1" applyAlignment="1">
      <alignment horizontal="center"/>
      <protection/>
    </xf>
    <xf numFmtId="3" fontId="1" fillId="0" borderId="4" xfId="22" applyNumberFormat="1" applyFont="1" applyBorder="1" applyAlignment="1">
      <alignment horizontal="right"/>
      <protection/>
    </xf>
    <xf numFmtId="3" fontId="1" fillId="0" borderId="4" xfId="22" applyNumberFormat="1" applyFont="1" applyBorder="1" applyAlignment="1">
      <alignment horizontal="center"/>
      <protection/>
    </xf>
    <xf numFmtId="3" fontId="1" fillId="0" borderId="4" xfId="22" applyNumberFormat="1" applyFont="1" applyBorder="1" applyAlignment="1">
      <alignment/>
      <protection/>
    </xf>
    <xf numFmtId="3" fontId="1" fillId="0" borderId="4" xfId="22" applyNumberFormat="1" applyFont="1" applyBorder="1" applyAlignment="1">
      <alignment horizontal="right" vertical="center"/>
      <protection/>
    </xf>
    <xf numFmtId="3" fontId="4" fillId="0" borderId="4" xfId="22" applyNumberFormat="1" applyFont="1" applyBorder="1" applyAlignment="1">
      <alignment horizontal="center"/>
      <protection/>
    </xf>
    <xf numFmtId="0" fontId="4" fillId="0" borderId="4" xfId="22" applyFont="1" applyBorder="1" applyAlignment="1">
      <alignment horizontal="center"/>
      <protection/>
    </xf>
    <xf numFmtId="3" fontId="4" fillId="0" borderId="4" xfId="22" applyNumberFormat="1" applyFont="1" applyBorder="1" applyAlignment="1">
      <alignment/>
      <protection/>
    </xf>
    <xf numFmtId="0" fontId="13" fillId="0" borderId="0" xfId="22" applyFont="1">
      <alignment/>
      <protection/>
    </xf>
    <xf numFmtId="0" fontId="1" fillId="0" borderId="0" xfId="22" applyFont="1">
      <alignment/>
      <protection/>
    </xf>
    <xf numFmtId="0" fontId="1" fillId="0" borderId="0" xfId="22" applyFont="1" applyAlignment="1">
      <alignment shrinkToFit="1"/>
      <protection/>
    </xf>
    <xf numFmtId="0" fontId="8" fillId="0" borderId="0" xfId="20" applyFont="1">
      <alignment/>
      <protection/>
    </xf>
    <xf numFmtId="0" fontId="9" fillId="0" borderId="0" xfId="20" applyFont="1">
      <alignment/>
      <protection/>
    </xf>
    <xf numFmtId="0" fontId="9" fillId="0" borderId="0" xfId="20" applyFont="1" applyAlignment="1">
      <alignment shrinkToFit="1"/>
      <protection/>
    </xf>
    <xf numFmtId="1" fontId="8" fillId="0" borderId="0" xfId="20" applyNumberFormat="1" applyFont="1" applyAlignment="1">
      <alignment horizontal="right"/>
      <protection/>
    </xf>
    <xf numFmtId="0" fontId="8" fillId="0" borderId="0" xfId="20" applyFont="1" applyAlignment="1">
      <alignment horizontal="centerContinuous"/>
      <protection/>
    </xf>
    <xf numFmtId="0" fontId="8" fillId="0" borderId="0" xfId="20" applyFont="1" applyAlignment="1">
      <alignment horizontal="right" shrinkToFit="1"/>
      <protection/>
    </xf>
    <xf numFmtId="1" fontId="8" fillId="0" borderId="0" xfId="20" applyNumberFormat="1" applyFont="1" applyAlignment="1">
      <alignment horizontal="centerContinuous"/>
      <protection/>
    </xf>
    <xf numFmtId="0" fontId="1" fillId="0" borderId="0" xfId="20" applyFont="1" applyAlignment="1">
      <alignment shrinkToFit="1"/>
      <protection/>
    </xf>
    <xf numFmtId="0" fontId="16" fillId="2" borderId="5" xfId="20" applyFont="1" applyFill="1" applyBorder="1" applyAlignment="1">
      <alignment horizontal="center" vertical="center"/>
      <protection/>
    </xf>
    <xf numFmtId="0" fontId="16" fillId="2" borderId="6" xfId="20" applyFont="1" applyFill="1" applyBorder="1" applyAlignment="1">
      <alignment vertical="center" shrinkToFit="1"/>
      <protection/>
    </xf>
    <xf numFmtId="1" fontId="10" fillId="2" borderId="7" xfId="20" applyNumberFormat="1" applyFont="1" applyFill="1" applyBorder="1" applyAlignment="1">
      <alignment vertical="center"/>
      <protection/>
    </xf>
    <xf numFmtId="1" fontId="10" fillId="2" borderId="8" xfId="20" applyNumberFormat="1" applyFont="1" applyFill="1" applyBorder="1" applyAlignment="1">
      <alignment vertical="center"/>
      <protection/>
    </xf>
    <xf numFmtId="0" fontId="17" fillId="0" borderId="0" xfId="20" applyFont="1" applyAlignment="1">
      <alignment vertical="center"/>
      <protection/>
    </xf>
    <xf numFmtId="0" fontId="16" fillId="0" borderId="9" xfId="20" applyFont="1" applyFill="1" applyBorder="1" applyAlignment="1">
      <alignment vertical="center" shrinkToFit="1"/>
      <protection/>
    </xf>
    <xf numFmtId="1" fontId="10" fillId="0" borderId="10" xfId="20" applyNumberFormat="1" applyFont="1" applyFill="1" applyBorder="1" applyAlignment="1">
      <alignment vertical="center"/>
      <protection/>
    </xf>
    <xf numFmtId="1" fontId="10" fillId="0" borderId="11" xfId="20" applyNumberFormat="1" applyFont="1" applyFill="1" applyBorder="1" applyAlignment="1">
      <alignment vertical="center"/>
      <protection/>
    </xf>
    <xf numFmtId="164" fontId="19" fillId="0" borderId="9" xfId="20" applyNumberFormat="1" applyFont="1" applyFill="1" applyBorder="1" applyAlignment="1">
      <alignment vertical="center" shrinkToFit="1"/>
      <protection/>
    </xf>
    <xf numFmtId="1" fontId="19" fillId="0" borderId="10" xfId="20" applyNumberFormat="1" applyFont="1" applyBorder="1">
      <alignment/>
      <protection/>
    </xf>
    <xf numFmtId="1" fontId="19" fillId="0" borderId="11" xfId="20" applyNumberFormat="1" applyFont="1" applyBorder="1">
      <alignment/>
      <protection/>
    </xf>
    <xf numFmtId="0" fontId="19" fillId="0" borderId="0" xfId="20" applyFont="1">
      <alignment/>
      <protection/>
    </xf>
    <xf numFmtId="164" fontId="21" fillId="0" borderId="9" xfId="20" applyNumberFormat="1" applyFont="1" applyFill="1" applyBorder="1" applyAlignment="1">
      <alignment vertical="center" shrinkToFit="1"/>
      <protection/>
    </xf>
    <xf numFmtId="1" fontId="21" fillId="0" borderId="10" xfId="20" applyNumberFormat="1" applyFont="1" applyBorder="1">
      <alignment/>
      <protection/>
    </xf>
    <xf numFmtId="1" fontId="21" fillId="0" borderId="11" xfId="20" applyNumberFormat="1" applyFont="1" applyBorder="1">
      <alignment/>
      <protection/>
    </xf>
    <xf numFmtId="0" fontId="21" fillId="0" borderId="0" xfId="20" applyFont="1">
      <alignment/>
      <protection/>
    </xf>
    <xf numFmtId="0" fontId="21" fillId="0" borderId="0" xfId="20" applyFont="1" applyBorder="1">
      <alignment/>
      <protection/>
    </xf>
    <xf numFmtId="1" fontId="22" fillId="0" borderId="12" xfId="20" applyNumberFormat="1" applyFont="1" applyBorder="1" applyAlignment="1">
      <alignment vertical="center"/>
      <protection/>
    </xf>
    <xf numFmtId="1" fontId="22" fillId="0" borderId="13" xfId="20" applyNumberFormat="1" applyFont="1" applyBorder="1" applyAlignment="1">
      <alignment vertical="center"/>
      <protection/>
    </xf>
    <xf numFmtId="0" fontId="9" fillId="0" borderId="0" xfId="20" applyFont="1" applyAlignment="1">
      <alignment vertical="center"/>
      <protection/>
    </xf>
    <xf numFmtId="1" fontId="18" fillId="0" borderId="10" xfId="20" applyNumberFormat="1" applyFont="1" applyBorder="1">
      <alignment/>
      <protection/>
    </xf>
    <xf numFmtId="1" fontId="18" fillId="0" borderId="11" xfId="20" applyNumberFormat="1" applyFont="1" applyBorder="1">
      <alignment/>
      <protection/>
    </xf>
    <xf numFmtId="1" fontId="20" fillId="0" borderId="10" xfId="20" applyNumberFormat="1" applyFont="1" applyBorder="1">
      <alignment/>
      <protection/>
    </xf>
    <xf numFmtId="1" fontId="21" fillId="0" borderId="11" xfId="20" applyNumberFormat="1" applyFont="1" applyBorder="1">
      <alignment/>
      <protection/>
    </xf>
    <xf numFmtId="0" fontId="22" fillId="2" borderId="5" xfId="20" applyFont="1" applyFill="1" applyBorder="1" applyAlignment="1">
      <alignment horizontal="center" vertical="center"/>
      <protection/>
    </xf>
    <xf numFmtId="1" fontId="22" fillId="2" borderId="6" xfId="20" applyNumberFormat="1" applyFont="1" applyFill="1" applyBorder="1" applyAlignment="1">
      <alignment vertical="center"/>
      <protection/>
    </xf>
    <xf numFmtId="1" fontId="9" fillId="0" borderId="0" xfId="20" applyNumberFormat="1" applyFont="1">
      <alignment/>
      <protection/>
    </xf>
    <xf numFmtId="0" fontId="15" fillId="0" borderId="0" xfId="0" applyFont="1" applyAlignment="1">
      <alignment/>
    </xf>
    <xf numFmtId="0" fontId="14" fillId="2" borderId="14" xfId="20" applyFont="1" applyFill="1" applyBorder="1" applyAlignment="1">
      <alignment horizontal="center" shrinkToFit="1"/>
      <protection/>
    </xf>
    <xf numFmtId="0" fontId="14" fillId="2" borderId="15" xfId="20" applyFont="1" applyFill="1" applyBorder="1" applyAlignment="1">
      <alignment horizontal="center" shrinkToFit="1"/>
      <protection/>
    </xf>
    <xf numFmtId="0" fontId="14" fillId="2" borderId="10" xfId="20" applyFont="1" applyFill="1" applyBorder="1" applyAlignment="1">
      <alignment horizontal="center" shrinkToFit="1"/>
      <protection/>
    </xf>
    <xf numFmtId="0" fontId="16" fillId="2" borderId="16" xfId="20" applyFont="1" applyFill="1" applyBorder="1" applyAlignment="1">
      <alignment horizontal="center" vertical="center"/>
      <protection/>
    </xf>
    <xf numFmtId="0" fontId="18" fillId="2" borderId="16" xfId="20" applyFont="1" applyFill="1" applyBorder="1" applyAlignment="1">
      <alignment horizontal="center"/>
      <protection/>
    </xf>
    <xf numFmtId="0" fontId="20" fillId="2" borderId="16" xfId="20" applyFont="1" applyFill="1" applyBorder="1" applyAlignment="1">
      <alignment horizontal="center"/>
      <protection/>
    </xf>
    <xf numFmtId="0" fontId="22" fillId="2" borderId="17" xfId="20" applyFont="1" applyFill="1" applyBorder="1" applyAlignment="1">
      <alignment horizontal="center" vertical="center"/>
      <protection/>
    </xf>
    <xf numFmtId="0" fontId="1" fillId="2" borderId="18" xfId="20" applyFont="1" applyFill="1" applyBorder="1" applyAlignment="1">
      <alignment shrinkToFit="1"/>
      <protection/>
    </xf>
    <xf numFmtId="1" fontId="4" fillId="2" borderId="2" xfId="20" applyNumberFormat="1" applyFont="1" applyFill="1" applyBorder="1" applyAlignment="1">
      <alignment horizontal="center" shrinkToFit="1"/>
      <protection/>
    </xf>
    <xf numFmtId="1" fontId="4" fillId="2" borderId="19" xfId="20" applyNumberFormat="1" applyFont="1" applyFill="1" applyBorder="1" applyAlignment="1">
      <alignment horizontal="center" shrinkToFit="1"/>
      <protection/>
    </xf>
    <xf numFmtId="49" fontId="16" fillId="2" borderId="10" xfId="20" applyNumberFormat="1" applyFont="1" applyFill="1" applyBorder="1" applyAlignment="1">
      <alignment horizontal="center" vertical="center" shrinkToFit="1"/>
      <protection/>
    </xf>
    <xf numFmtId="1" fontId="4" fillId="2" borderId="10" xfId="20" applyNumberFormat="1" applyFont="1" applyFill="1" applyBorder="1" applyAlignment="1">
      <alignment horizontal="center" shrinkToFit="1"/>
      <protection/>
    </xf>
    <xf numFmtId="1" fontId="4" fillId="2" borderId="11" xfId="20" applyNumberFormat="1" applyFont="1" applyFill="1" applyBorder="1" applyAlignment="1">
      <alignment horizontal="center" shrinkToFit="1"/>
      <protection/>
    </xf>
    <xf numFmtId="49" fontId="14" fillId="2" borderId="10" xfId="20" applyNumberFormat="1" applyFont="1" applyFill="1" applyBorder="1" applyAlignment="1">
      <alignment horizontal="center" vertical="center" shrinkToFit="1"/>
      <protection/>
    </xf>
    <xf numFmtId="1" fontId="19" fillId="0" borderId="0" xfId="20" applyNumberFormat="1" applyFont="1" applyAlignment="1">
      <alignment horizontal="centerContinuous"/>
      <protection/>
    </xf>
    <xf numFmtId="0" fontId="4" fillId="2" borderId="18" xfId="22" applyFont="1" applyFill="1" applyBorder="1" applyAlignment="1">
      <alignment horizontal="center" vertical="center"/>
      <protection/>
    </xf>
    <xf numFmtId="0" fontId="4" fillId="2" borderId="20" xfId="22" applyFont="1" applyFill="1" applyBorder="1" applyAlignment="1">
      <alignment horizontal="centerContinuous"/>
      <protection/>
    </xf>
    <xf numFmtId="0" fontId="4" fillId="2" borderId="21" xfId="22" applyFont="1" applyFill="1" applyBorder="1" applyAlignment="1">
      <alignment horizontal="centerContinuous"/>
      <protection/>
    </xf>
    <xf numFmtId="0" fontId="4" fillId="2" borderId="10" xfId="22" applyFont="1" applyFill="1" applyBorder="1" applyAlignment="1">
      <alignment horizontal="center" vertical="center"/>
      <protection/>
    </xf>
    <xf numFmtId="0" fontId="4" fillId="2" borderId="9" xfId="22" applyFont="1" applyFill="1" applyBorder="1" applyAlignment="1">
      <alignment horizontal="center" vertical="center"/>
      <protection/>
    </xf>
    <xf numFmtId="0" fontId="4" fillId="2" borderId="10" xfId="22" applyFont="1" applyFill="1" applyBorder="1" applyAlignment="1">
      <alignment horizontal="center"/>
      <protection/>
    </xf>
    <xf numFmtId="0" fontId="4" fillId="2" borderId="22" xfId="22" applyFont="1" applyFill="1" applyBorder="1" applyAlignment="1">
      <alignment horizontal="center" vertical="center"/>
      <protection/>
    </xf>
    <xf numFmtId="0" fontId="4" fillId="2" borderId="23" xfId="22" applyFont="1" applyFill="1" applyBorder="1" applyAlignment="1">
      <alignment horizontal="center" vertical="center"/>
      <protection/>
    </xf>
    <xf numFmtId="3" fontId="4" fillId="2" borderId="24" xfId="22" applyNumberFormat="1" applyFont="1" applyFill="1" applyBorder="1" applyAlignment="1">
      <alignment horizontal="right" shrinkToFit="1"/>
      <protection/>
    </xf>
    <xf numFmtId="0" fontId="4" fillId="0" borderId="3" xfId="22" applyFont="1" applyBorder="1" applyAlignment="1">
      <alignment/>
      <protection/>
    </xf>
    <xf numFmtId="0" fontId="26" fillId="0" borderId="0" xfId="22" applyFont="1" applyFill="1" applyAlignment="1">
      <alignment horizontal="right" vertical="center"/>
      <protection/>
    </xf>
    <xf numFmtId="0" fontId="4" fillId="0" borderId="0" xfId="22" applyFont="1" applyAlignment="1">
      <alignment horizontal="center" vertical="center"/>
      <protection/>
    </xf>
    <xf numFmtId="0" fontId="4" fillId="2" borderId="25" xfId="22" applyFont="1" applyFill="1" applyBorder="1" applyAlignment="1">
      <alignment horizontal="center" vertical="center"/>
      <protection/>
    </xf>
    <xf numFmtId="0" fontId="4" fillId="2" borderId="15" xfId="22" applyFont="1" applyFill="1" applyBorder="1" applyAlignment="1">
      <alignment horizontal="center" vertical="center"/>
      <protection/>
    </xf>
    <xf numFmtId="0" fontId="4" fillId="2" borderId="26" xfId="22" applyFont="1" applyFill="1" applyBorder="1" applyAlignment="1">
      <alignment horizontal="center" vertical="center"/>
      <protection/>
    </xf>
    <xf numFmtId="0" fontId="4" fillId="2" borderId="27" xfId="22" applyFont="1" applyFill="1" applyBorder="1" applyAlignment="1">
      <alignment horizontal="center" vertical="center"/>
      <protection/>
    </xf>
    <xf numFmtId="0" fontId="4" fillId="2" borderId="14" xfId="22" applyFont="1" applyFill="1" applyBorder="1" applyAlignment="1">
      <alignment horizontal="center"/>
      <protection/>
    </xf>
    <xf numFmtId="0" fontId="4" fillId="2" borderId="26" xfId="22" applyFont="1" applyFill="1" applyBorder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164" fontId="4" fillId="0" borderId="4" xfId="22" applyNumberFormat="1" applyFont="1" applyFill="1" applyBorder="1" applyAlignment="1">
      <alignment vertical="center" wrapText="1"/>
      <protection/>
    </xf>
    <xf numFmtId="0" fontId="4" fillId="0" borderId="4" xfId="22" applyFont="1" applyBorder="1" applyAlignment="1">
      <alignment/>
      <protection/>
    </xf>
    <xf numFmtId="164" fontId="1" fillId="0" borderId="4" xfId="22" applyNumberFormat="1" applyFont="1" applyFill="1" applyBorder="1" applyAlignment="1">
      <alignment vertical="center" wrapText="1"/>
      <protection/>
    </xf>
    <xf numFmtId="3" fontId="4" fillId="0" borderId="4" xfId="22" applyNumberFormat="1" applyFont="1" applyBorder="1" applyAlignment="1">
      <alignment horizontal="right"/>
      <protection/>
    </xf>
    <xf numFmtId="3" fontId="4" fillId="2" borderId="28" xfId="22" applyNumberFormat="1" applyFont="1" applyFill="1" applyBorder="1" applyAlignment="1">
      <alignment horizontal="right" shrinkToFit="1"/>
      <protection/>
    </xf>
    <xf numFmtId="0" fontId="1" fillId="0" borderId="29" xfId="22" applyFont="1" applyBorder="1" applyAlignment="1">
      <alignment vertical="center" wrapText="1" shrinkToFit="1"/>
      <protection/>
    </xf>
    <xf numFmtId="0" fontId="4" fillId="0" borderId="29" xfId="22" applyFont="1" applyBorder="1" applyAlignment="1">
      <alignment horizontal="center" vertical="center"/>
      <protection/>
    </xf>
    <xf numFmtId="0" fontId="4" fillId="2" borderId="30" xfId="22" applyFont="1" applyFill="1" applyBorder="1" applyAlignment="1">
      <alignment horizontal="left"/>
      <protection/>
    </xf>
    <xf numFmtId="0" fontId="4" fillId="2" borderId="31" xfId="22" applyFont="1" applyFill="1" applyBorder="1" applyAlignment="1">
      <alignment/>
      <protection/>
    </xf>
    <xf numFmtId="3" fontId="4" fillId="2" borderId="4" xfId="22" applyNumberFormat="1" applyFont="1" applyFill="1" applyBorder="1" applyAlignment="1">
      <alignment/>
      <protection/>
    </xf>
    <xf numFmtId="3" fontId="1" fillId="2" borderId="4" xfId="22" applyNumberFormat="1" applyFont="1" applyFill="1" applyBorder="1" applyAlignment="1">
      <alignment/>
      <protection/>
    </xf>
    <xf numFmtId="0" fontId="15" fillId="0" borderId="32" xfId="0" applyFont="1" applyFill="1" applyBorder="1" applyAlignment="1" applyProtection="1">
      <alignment horizontal="left" vertical="center" wrapText="1" indent="1"/>
      <protection locked="0"/>
    </xf>
    <xf numFmtId="49" fontId="15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 indent="1"/>
      <protection locked="0"/>
    </xf>
    <xf numFmtId="0" fontId="15" fillId="0" borderId="4" xfId="0" applyFont="1" applyFill="1" applyBorder="1" applyAlignment="1" applyProtection="1">
      <alignment horizontal="left" vertical="center" wrapText="1" indent="1"/>
      <protection locked="0"/>
    </xf>
    <xf numFmtId="3" fontId="15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4" xfId="0" applyNumberFormat="1" applyFont="1" applyFill="1" applyBorder="1" applyAlignment="1" applyProtection="1">
      <alignment vertical="center" wrapText="1"/>
      <protection locked="0"/>
    </xf>
    <xf numFmtId="3" fontId="15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173" fontId="15" fillId="0" borderId="0" xfId="0" applyNumberFormat="1" applyFont="1" applyFill="1" applyAlignment="1">
      <alignment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3" fontId="14" fillId="0" borderId="37" xfId="0" applyNumberFormat="1" applyFont="1" applyFill="1" applyBorder="1" applyAlignment="1" applyProtection="1">
      <alignment vertical="center" wrapText="1"/>
      <protection locked="0"/>
    </xf>
    <xf numFmtId="3" fontId="14" fillId="0" borderId="38" xfId="0" applyNumberFormat="1" applyFont="1" applyFill="1" applyBorder="1" applyAlignment="1" applyProtection="1">
      <alignment vertical="center" wrapText="1"/>
      <protection locked="0"/>
    </xf>
    <xf numFmtId="0" fontId="14" fillId="2" borderId="35" xfId="0" applyFont="1" applyFill="1" applyBorder="1" applyAlignment="1">
      <alignment horizontal="left" vertical="center" wrapText="1" indent="1"/>
    </xf>
    <xf numFmtId="0" fontId="14" fillId="2" borderId="36" xfId="0" applyFont="1" applyFill="1" applyBorder="1" applyAlignment="1">
      <alignment horizontal="left" vertical="center" wrapText="1" indent="1"/>
    </xf>
    <xf numFmtId="3" fontId="14" fillId="2" borderId="36" xfId="0" applyNumberFormat="1" applyFont="1" applyFill="1" applyBorder="1" applyAlignment="1">
      <alignment horizontal="right" vertical="center" wrapText="1"/>
    </xf>
    <xf numFmtId="3" fontId="14" fillId="2" borderId="39" xfId="0" applyNumberFormat="1" applyFont="1" applyFill="1" applyBorder="1" applyAlignment="1" applyProtection="1">
      <alignment vertical="center" wrapText="1"/>
      <protection locked="0"/>
    </xf>
    <xf numFmtId="0" fontId="4" fillId="2" borderId="34" xfId="22" applyFont="1" applyFill="1" applyBorder="1" applyAlignment="1">
      <alignment horizontal="center" vertical="center"/>
      <protection/>
    </xf>
    <xf numFmtId="0" fontId="1" fillId="2" borderId="34" xfId="22" applyFont="1" applyFill="1" applyBorder="1" applyAlignment="1">
      <alignment horizontal="center" vertical="center"/>
      <protection/>
    </xf>
    <xf numFmtId="0" fontId="4" fillId="2" borderId="17" xfId="22" applyFont="1" applyFill="1" applyBorder="1" applyAlignment="1">
      <alignment horizontal="center" vertical="center"/>
      <protection/>
    </xf>
    <xf numFmtId="0" fontId="14" fillId="2" borderId="2" xfId="20" applyFont="1" applyFill="1" applyBorder="1" applyAlignment="1">
      <alignment horizontal="center" shrinkToFit="1"/>
      <protection/>
    </xf>
    <xf numFmtId="0" fontId="17" fillId="2" borderId="7" xfId="20" applyFont="1" applyFill="1" applyBorder="1" applyAlignment="1">
      <alignment horizontal="center" vertical="center"/>
      <protection/>
    </xf>
    <xf numFmtId="0" fontId="10" fillId="2" borderId="10" xfId="20" applyFont="1" applyFill="1" applyBorder="1" applyAlignment="1">
      <alignment horizontal="center" vertical="center"/>
      <protection/>
    </xf>
    <xf numFmtId="0" fontId="18" fillId="2" borderId="10" xfId="20" applyFont="1" applyFill="1" applyBorder="1" applyAlignment="1">
      <alignment horizontal="center"/>
      <protection/>
    </xf>
    <xf numFmtId="0" fontId="20" fillId="2" borderId="10" xfId="20" applyFont="1" applyFill="1" applyBorder="1" applyAlignment="1">
      <alignment horizontal="center"/>
      <protection/>
    </xf>
    <xf numFmtId="49" fontId="22" fillId="2" borderId="12" xfId="20" applyNumberFormat="1" applyFont="1" applyFill="1" applyBorder="1" applyAlignment="1">
      <alignment horizontal="center" vertical="center"/>
      <protection/>
    </xf>
    <xf numFmtId="49" fontId="18" fillId="2" borderId="10" xfId="20" applyNumberFormat="1" applyFont="1" applyFill="1" applyBorder="1" applyAlignment="1">
      <alignment horizontal="center"/>
      <protection/>
    </xf>
    <xf numFmtId="49" fontId="20" fillId="2" borderId="10" xfId="20" applyNumberFormat="1" applyFont="1" applyFill="1" applyBorder="1" applyAlignment="1">
      <alignment horizontal="center"/>
      <protection/>
    </xf>
    <xf numFmtId="0" fontId="23" fillId="2" borderId="7" xfId="20" applyFont="1" applyFill="1" applyBorder="1" applyAlignment="1">
      <alignment horizontal="center" vertical="center"/>
      <protection/>
    </xf>
    <xf numFmtId="0" fontId="14" fillId="2" borderId="25" xfId="20" applyFont="1" applyFill="1" applyBorder="1" applyAlignment="1">
      <alignment horizontal="center" shrinkToFit="1"/>
      <protection/>
    </xf>
    <xf numFmtId="0" fontId="14" fillId="2" borderId="15" xfId="20" applyFont="1" applyFill="1" applyBorder="1" applyAlignment="1">
      <alignment horizontal="center" shrinkToFit="1"/>
      <protection/>
    </xf>
    <xf numFmtId="0" fontId="17" fillId="2" borderId="5" xfId="20" applyFont="1" applyFill="1" applyBorder="1" applyAlignment="1">
      <alignment horizontal="center" vertical="center"/>
      <protection/>
    </xf>
    <xf numFmtId="0" fontId="17" fillId="2" borderId="16" xfId="20" applyFont="1" applyFill="1" applyBorder="1" applyAlignment="1">
      <alignment horizontal="center" vertical="center"/>
      <protection/>
    </xf>
    <xf numFmtId="49" fontId="20" fillId="2" borderId="16" xfId="20" applyNumberFormat="1" applyFont="1" applyFill="1" applyBorder="1" applyAlignment="1">
      <alignment horizontal="center"/>
      <protection/>
    </xf>
    <xf numFmtId="0" fontId="23" fillId="2" borderId="5" xfId="20" applyFont="1" applyFill="1" applyBorder="1" applyAlignment="1">
      <alignment horizontal="center" vertical="center"/>
      <protection/>
    </xf>
    <xf numFmtId="0" fontId="8" fillId="0" borderId="0" xfId="20" applyFont="1">
      <alignment/>
      <protection/>
    </xf>
    <xf numFmtId="0" fontId="10" fillId="0" borderId="0" xfId="20" applyFont="1">
      <alignment/>
      <protection/>
    </xf>
    <xf numFmtId="0" fontId="10" fillId="2" borderId="5" xfId="20" applyFont="1" applyFill="1" applyBorder="1">
      <alignment/>
      <protection/>
    </xf>
    <xf numFmtId="0" fontId="10" fillId="2" borderId="6" xfId="20" applyFont="1" applyFill="1" applyBorder="1" applyAlignment="1">
      <alignment shrinkToFit="1"/>
      <protection/>
    </xf>
    <xf numFmtId="1" fontId="10" fillId="2" borderId="8" xfId="20" applyNumberFormat="1" applyFont="1" applyFill="1" applyBorder="1">
      <alignment/>
      <protection/>
    </xf>
    <xf numFmtId="164" fontId="10" fillId="0" borderId="6" xfId="20" applyNumberFormat="1" applyFont="1" applyFill="1" applyBorder="1" applyAlignment="1">
      <alignment horizontal="left" vertical="center" shrinkToFit="1"/>
      <protection/>
    </xf>
    <xf numFmtId="0" fontId="17" fillId="0" borderId="0" xfId="20" applyFont="1" applyFill="1" applyAlignment="1">
      <alignment vertical="center"/>
      <protection/>
    </xf>
    <xf numFmtId="3" fontId="16" fillId="0" borderId="6" xfId="20" applyNumberFormat="1" applyFont="1" applyFill="1" applyBorder="1" applyAlignment="1">
      <alignment vertical="center"/>
      <protection/>
    </xf>
    <xf numFmtId="164" fontId="10" fillId="0" borderId="18" xfId="20" applyNumberFormat="1" applyFont="1" applyFill="1" applyBorder="1" applyAlignment="1">
      <alignment horizontal="left" vertical="center" shrinkToFit="1"/>
      <protection/>
    </xf>
    <xf numFmtId="3" fontId="16" fillId="0" borderId="18" xfId="20" applyNumberFormat="1" applyFont="1" applyFill="1" applyBorder="1" applyAlignment="1">
      <alignment vertical="center"/>
      <protection/>
    </xf>
    <xf numFmtId="0" fontId="31" fillId="0" borderId="0" xfId="20" applyFont="1" applyFill="1">
      <alignment/>
      <protection/>
    </xf>
    <xf numFmtId="0" fontId="9" fillId="0" borderId="0" xfId="20" applyFont="1" applyFill="1" applyAlignment="1">
      <alignment shrinkToFit="1"/>
      <protection/>
    </xf>
    <xf numFmtId="1" fontId="9" fillId="0" borderId="0" xfId="20" applyNumberFormat="1" applyFont="1" applyFill="1">
      <alignment/>
      <protection/>
    </xf>
    <xf numFmtId="0" fontId="21" fillId="0" borderId="0" xfId="20" applyFont="1" applyFill="1" applyBorder="1">
      <alignment/>
      <protection/>
    </xf>
    <xf numFmtId="0" fontId="19" fillId="0" borderId="0" xfId="20" applyFont="1" applyFill="1" applyBorder="1">
      <alignment/>
      <protection/>
    </xf>
    <xf numFmtId="0" fontId="16" fillId="2" borderId="6" xfId="20" applyFont="1" applyFill="1" applyBorder="1" applyAlignment="1">
      <alignment horizontal="center"/>
      <protection/>
    </xf>
    <xf numFmtId="0" fontId="16" fillId="2" borderId="8" xfId="20" applyFont="1" applyFill="1" applyBorder="1" applyAlignment="1">
      <alignment horizontal="right"/>
      <protection/>
    </xf>
    <xf numFmtId="0" fontId="10" fillId="0" borderId="1" xfId="20" applyFont="1" applyBorder="1" applyAlignment="1">
      <alignment horizontal="center"/>
      <protection/>
    </xf>
    <xf numFmtId="0" fontId="8" fillId="2" borderId="5" xfId="20" applyFont="1" applyFill="1" applyBorder="1">
      <alignment/>
      <protection/>
    </xf>
    <xf numFmtId="0" fontId="8" fillId="0" borderId="0" xfId="20" applyFont="1" applyFill="1">
      <alignment/>
      <protection/>
    </xf>
    <xf numFmtId="3" fontId="4" fillId="2" borderId="40" xfId="22" applyNumberFormat="1" applyFont="1" applyFill="1" applyBorder="1" applyAlignment="1">
      <alignment horizontal="center" vertical="center"/>
      <protection/>
    </xf>
    <xf numFmtId="0" fontId="4" fillId="2" borderId="41" xfId="22" applyFont="1" applyFill="1" applyBorder="1" applyAlignment="1">
      <alignment horizontal="center" vertical="center"/>
      <protection/>
    </xf>
    <xf numFmtId="0" fontId="4" fillId="3" borderId="35" xfId="22" applyFont="1" applyFill="1" applyBorder="1" applyAlignment="1">
      <alignment horizontal="center"/>
      <protection/>
    </xf>
    <xf numFmtId="3" fontId="4" fillId="3" borderId="42" xfId="22" applyNumberFormat="1" applyFont="1" applyFill="1" applyBorder="1" applyAlignment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6" fillId="0" borderId="0" xfId="22" applyFont="1" applyAlignment="1">
      <alignment vertical="center" shrinkToFit="1"/>
      <protection/>
    </xf>
    <xf numFmtId="0" fontId="6" fillId="0" borderId="0" xfId="22" applyFont="1" applyAlignment="1">
      <alignment vertical="center"/>
      <protection/>
    </xf>
    <xf numFmtId="0" fontId="5" fillId="0" borderId="0" xfId="22" applyFont="1" applyAlignment="1">
      <alignment horizontal="right" vertical="center"/>
      <protection/>
    </xf>
    <xf numFmtId="0" fontId="6" fillId="0" borderId="0" xfId="22" applyFont="1">
      <alignment/>
      <protection/>
    </xf>
    <xf numFmtId="0" fontId="6" fillId="0" borderId="0" xfId="22" applyFont="1">
      <alignment/>
      <protection/>
    </xf>
    <xf numFmtId="0" fontId="5" fillId="0" borderId="0" xfId="22" applyFont="1" applyAlignment="1">
      <alignment horizontal="center" vertical="center"/>
      <protection/>
    </xf>
    <xf numFmtId="0" fontId="6" fillId="0" borderId="1" xfId="22" applyFont="1" applyBorder="1" applyAlignment="1">
      <alignment vertical="center" shrinkToFit="1"/>
      <protection/>
    </xf>
    <xf numFmtId="0" fontId="6" fillId="0" borderId="1" xfId="22" applyFont="1" applyBorder="1" applyAlignment="1">
      <alignment vertical="center"/>
      <protection/>
    </xf>
    <xf numFmtId="0" fontId="32" fillId="0" borderId="0" xfId="22" applyFont="1" applyFill="1" applyAlignment="1">
      <alignment horizontal="right" vertical="center"/>
      <protection/>
    </xf>
    <xf numFmtId="0" fontId="5" fillId="2" borderId="25" xfId="22" applyFont="1" applyFill="1" applyBorder="1" applyAlignment="1">
      <alignment horizontal="center" vertical="center"/>
      <protection/>
    </xf>
    <xf numFmtId="0" fontId="5" fillId="2" borderId="2" xfId="22" applyFont="1" applyFill="1" applyBorder="1" applyAlignment="1">
      <alignment horizontal="center" vertical="center" shrinkToFit="1"/>
      <protection/>
    </xf>
    <xf numFmtId="0" fontId="5" fillId="2" borderId="18" xfId="22" applyFont="1" applyFill="1" applyBorder="1" applyAlignment="1">
      <alignment horizontal="center" vertical="center"/>
      <protection/>
    </xf>
    <xf numFmtId="0" fontId="5" fillId="2" borderId="20" xfId="22" applyFont="1" applyFill="1" applyBorder="1" applyAlignment="1">
      <alignment horizontal="centerContinuous"/>
      <protection/>
    </xf>
    <xf numFmtId="0" fontId="5" fillId="2" borderId="21" xfId="22" applyFont="1" applyFill="1" applyBorder="1" applyAlignment="1">
      <alignment horizontal="centerContinuous"/>
      <protection/>
    </xf>
    <xf numFmtId="0" fontId="5" fillId="2" borderId="43" xfId="22" applyFont="1" applyFill="1" applyBorder="1" applyAlignment="1">
      <alignment horizontal="centerContinuous"/>
      <protection/>
    </xf>
    <xf numFmtId="0" fontId="5" fillId="2" borderId="15" xfId="22" applyFont="1" applyFill="1" applyBorder="1" applyAlignment="1">
      <alignment horizontal="center" vertical="center"/>
      <protection/>
    </xf>
    <xf numFmtId="0" fontId="5" fillId="2" borderId="22" xfId="22" applyFont="1" applyFill="1" applyBorder="1" applyAlignment="1">
      <alignment horizontal="center" vertical="center" shrinkToFit="1"/>
      <protection/>
    </xf>
    <xf numFmtId="0" fontId="5" fillId="2" borderId="10" xfId="22" applyFont="1" applyFill="1" applyBorder="1" applyAlignment="1">
      <alignment horizontal="center" vertical="center"/>
      <protection/>
    </xf>
    <xf numFmtId="0" fontId="5" fillId="2" borderId="9" xfId="22" applyFont="1" applyFill="1" applyBorder="1" applyAlignment="1">
      <alignment horizontal="center" vertical="center"/>
      <protection/>
    </xf>
    <xf numFmtId="0" fontId="5" fillId="2" borderId="10" xfId="22" applyFont="1" applyFill="1" applyBorder="1" applyAlignment="1">
      <alignment horizontal="center"/>
      <protection/>
    </xf>
    <xf numFmtId="0" fontId="5" fillId="2" borderId="26" xfId="22" applyFont="1" applyFill="1" applyBorder="1" applyAlignment="1">
      <alignment horizontal="center" vertical="center"/>
      <protection/>
    </xf>
    <xf numFmtId="0" fontId="5" fillId="2" borderId="22" xfId="22" applyFont="1" applyFill="1" applyBorder="1" applyAlignment="1">
      <alignment horizontal="center" vertical="center"/>
      <protection/>
    </xf>
    <xf numFmtId="0" fontId="5" fillId="2" borderId="23" xfId="22" applyFont="1" applyFill="1" applyBorder="1" applyAlignment="1">
      <alignment horizontal="center" vertical="center"/>
      <protection/>
    </xf>
    <xf numFmtId="0" fontId="5" fillId="2" borderId="41" xfId="22" applyFont="1" applyFill="1" applyBorder="1" applyAlignment="1">
      <alignment horizontal="center" vertical="center" shrinkToFit="1"/>
      <protection/>
    </xf>
    <xf numFmtId="0" fontId="5" fillId="2" borderId="27" xfId="22" applyFont="1" applyFill="1" applyBorder="1" applyAlignment="1">
      <alignment horizontal="center" vertical="center"/>
      <protection/>
    </xf>
    <xf numFmtId="0" fontId="5" fillId="0" borderId="2" xfId="22" applyFont="1" applyBorder="1" applyAlignment="1">
      <alignment vertical="center"/>
      <protection/>
    </xf>
    <xf numFmtId="0" fontId="5" fillId="0" borderId="3" xfId="22" applyFont="1" applyBorder="1" applyAlignment="1">
      <alignment/>
      <protection/>
    </xf>
    <xf numFmtId="3" fontId="5" fillId="0" borderId="3" xfId="22" applyNumberFormat="1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3" fontId="5" fillId="0" borderId="3" xfId="22" applyNumberFormat="1" applyFont="1" applyBorder="1" applyAlignment="1">
      <alignment/>
      <protection/>
    </xf>
    <xf numFmtId="3" fontId="5" fillId="0" borderId="3" xfId="22" applyNumberFormat="1" applyFont="1" applyFill="1" applyBorder="1" applyAlignment="1">
      <alignment/>
      <protection/>
    </xf>
    <xf numFmtId="3" fontId="5" fillId="0" borderId="30" xfId="22" applyNumberFormat="1" applyFont="1" applyBorder="1" applyAlignment="1">
      <alignment/>
      <protection/>
    </xf>
    <xf numFmtId="0" fontId="5" fillId="2" borderId="34" xfId="22" applyFont="1" applyFill="1" applyBorder="1" applyAlignment="1">
      <alignment horizontal="center" vertical="center"/>
      <protection/>
    </xf>
    <xf numFmtId="164" fontId="5" fillId="0" borderId="4" xfId="22" applyNumberFormat="1" applyFont="1" applyFill="1" applyBorder="1" applyAlignment="1">
      <alignment vertical="center" wrapText="1"/>
      <protection/>
    </xf>
    <xf numFmtId="0" fontId="5" fillId="0" borderId="4" xfId="22" applyFont="1" applyBorder="1" applyAlignment="1">
      <alignment/>
      <protection/>
    </xf>
    <xf numFmtId="3" fontId="5" fillId="0" borderId="4" xfId="22" applyNumberFormat="1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3" fontId="5" fillId="0" borderId="4" xfId="22" applyNumberFormat="1" applyFont="1" applyBorder="1" applyAlignment="1">
      <alignment/>
      <protection/>
    </xf>
    <xf numFmtId="3" fontId="5" fillId="2" borderId="4" xfId="22" applyNumberFormat="1" applyFont="1" applyFill="1" applyBorder="1" applyAlignment="1">
      <alignment/>
      <protection/>
    </xf>
    <xf numFmtId="3" fontId="5" fillId="0" borderId="38" xfId="22" applyNumberFormat="1" applyFont="1" applyBorder="1" applyAlignment="1">
      <alignment/>
      <protection/>
    </xf>
    <xf numFmtId="0" fontId="5" fillId="0" borderId="0" xfId="22" applyFont="1">
      <alignment/>
      <protection/>
    </xf>
    <xf numFmtId="0" fontId="6" fillId="2" borderId="34" xfId="22" applyFont="1" applyFill="1" applyBorder="1" applyAlignment="1">
      <alignment horizontal="center" vertical="center"/>
      <protection/>
    </xf>
    <xf numFmtId="164" fontId="6" fillId="0" borderId="4" xfId="22" applyNumberFormat="1" applyFont="1" applyFill="1" applyBorder="1" applyAlignment="1">
      <alignment vertical="center" wrapText="1"/>
      <protection/>
    </xf>
    <xf numFmtId="3" fontId="6" fillId="0" borderId="4" xfId="22" applyNumberFormat="1" applyFont="1" applyBorder="1" applyAlignment="1">
      <alignment horizontal="right"/>
      <protection/>
    </xf>
    <xf numFmtId="3" fontId="6" fillId="0" borderId="4" xfId="22" applyNumberFormat="1" applyFont="1" applyBorder="1" applyAlignment="1">
      <alignment horizontal="center"/>
      <protection/>
    </xf>
    <xf numFmtId="0" fontId="6" fillId="0" borderId="4" xfId="22" applyFont="1" applyBorder="1" applyAlignment="1">
      <alignment horizontal="center"/>
      <protection/>
    </xf>
    <xf numFmtId="3" fontId="6" fillId="0" borderId="4" xfId="22" applyNumberFormat="1" applyFont="1" applyBorder="1" applyAlignment="1">
      <alignment/>
      <protection/>
    </xf>
    <xf numFmtId="3" fontId="6" fillId="2" borderId="4" xfId="22" applyNumberFormat="1" applyFont="1" applyFill="1" applyBorder="1" applyAlignment="1">
      <alignment/>
      <protection/>
    </xf>
    <xf numFmtId="3" fontId="6" fillId="0" borderId="38" xfId="22" applyNumberFormat="1" applyFont="1" applyBorder="1" applyAlignment="1">
      <alignment/>
      <protection/>
    </xf>
    <xf numFmtId="3" fontId="5" fillId="0" borderId="4" xfId="22" applyNumberFormat="1" applyFont="1" applyBorder="1" applyAlignment="1">
      <alignment horizontal="right"/>
      <protection/>
    </xf>
    <xf numFmtId="0" fontId="5" fillId="2" borderId="17" xfId="22" applyFont="1" applyFill="1" applyBorder="1" applyAlignment="1">
      <alignment horizontal="center" vertical="center"/>
      <protection/>
    </xf>
    <xf numFmtId="0" fontId="6" fillId="0" borderId="29" xfId="22" applyFont="1" applyBorder="1" applyAlignment="1">
      <alignment vertical="center" wrapText="1" shrinkToFit="1"/>
      <protection/>
    </xf>
    <xf numFmtId="0" fontId="5" fillId="0" borderId="29" xfId="22" applyFont="1" applyBorder="1" applyAlignment="1">
      <alignment horizontal="center" vertical="center"/>
      <protection/>
    </xf>
    <xf numFmtId="3" fontId="6" fillId="0" borderId="4" xfId="22" applyNumberFormat="1" applyFont="1" applyBorder="1" applyAlignment="1">
      <alignment horizontal="right" vertical="center"/>
      <protection/>
    </xf>
    <xf numFmtId="0" fontId="5" fillId="2" borderId="14" xfId="22" applyFont="1" applyFill="1" applyBorder="1" applyAlignment="1">
      <alignment horizontal="center"/>
      <protection/>
    </xf>
    <xf numFmtId="0" fontId="5" fillId="2" borderId="30" xfId="22" applyFont="1" applyFill="1" applyBorder="1" applyAlignment="1">
      <alignment horizontal="left"/>
      <protection/>
    </xf>
    <xf numFmtId="3" fontId="5" fillId="2" borderId="28" xfId="22" applyNumberFormat="1" applyFont="1" applyFill="1" applyBorder="1" applyAlignment="1">
      <alignment horizontal="right" shrinkToFit="1"/>
      <protection/>
    </xf>
    <xf numFmtId="3" fontId="5" fillId="2" borderId="24" xfId="22" applyNumberFormat="1" applyFont="1" applyFill="1" applyBorder="1" applyAlignment="1">
      <alignment horizontal="right" shrinkToFit="1"/>
      <protection/>
    </xf>
    <xf numFmtId="3" fontId="5" fillId="2" borderId="37" xfId="22" applyNumberFormat="1" applyFont="1" applyFill="1" applyBorder="1" applyAlignment="1">
      <alignment horizontal="right" shrinkToFit="1"/>
      <protection/>
    </xf>
    <xf numFmtId="0" fontId="5" fillId="2" borderId="26" xfId="22" applyFont="1" applyFill="1" applyBorder="1" applyAlignment="1">
      <alignment horizontal="center"/>
      <protection/>
    </xf>
    <xf numFmtId="0" fontId="5" fillId="2" borderId="31" xfId="22" applyFont="1" applyFill="1" applyBorder="1" applyAlignment="1">
      <alignment/>
      <protection/>
    </xf>
    <xf numFmtId="3" fontId="5" fillId="2" borderId="22" xfId="22" applyNumberFormat="1" applyFont="1" applyFill="1" applyBorder="1" applyAlignment="1">
      <alignment horizontal="centerContinuous" vertical="center" wrapText="1"/>
      <protection/>
    </xf>
    <xf numFmtId="0" fontId="5" fillId="2" borderId="27" xfId="22" applyFont="1" applyFill="1" applyBorder="1" applyAlignment="1">
      <alignment horizontal="center"/>
      <protection/>
    </xf>
    <xf numFmtId="0" fontId="5" fillId="2" borderId="20" xfId="22" applyFont="1" applyFill="1" applyBorder="1" applyAlignment="1">
      <alignment horizontal="left" shrinkToFit="1"/>
      <protection/>
    </xf>
    <xf numFmtId="0" fontId="5" fillId="2" borderId="21" xfId="22" applyFont="1" applyFill="1" applyBorder="1" applyAlignment="1">
      <alignment/>
      <protection/>
    </xf>
    <xf numFmtId="3" fontId="5" fillId="2" borderId="21" xfId="22" applyNumberFormat="1" applyFont="1" applyFill="1" applyBorder="1" applyAlignment="1">
      <alignment horizontal="center"/>
      <protection/>
    </xf>
    <xf numFmtId="0" fontId="5" fillId="2" borderId="21" xfId="22" applyFont="1" applyFill="1" applyBorder="1" applyAlignment="1">
      <alignment horizontal="center"/>
      <protection/>
    </xf>
    <xf numFmtId="3" fontId="5" fillId="2" borderId="21" xfId="22" applyNumberFormat="1" applyFont="1" applyFill="1" applyBorder="1" applyAlignment="1">
      <alignment/>
      <protection/>
    </xf>
    <xf numFmtId="3" fontId="5" fillId="2" borderId="44" xfId="22" applyNumberFormat="1" applyFont="1" applyFill="1" applyBorder="1" applyAlignment="1">
      <alignment/>
      <protection/>
    </xf>
    <xf numFmtId="0" fontId="5" fillId="2" borderId="34" xfId="22" applyFont="1" applyFill="1" applyBorder="1" applyAlignment="1">
      <alignment horizontal="center"/>
      <protection/>
    </xf>
    <xf numFmtId="164" fontId="6" fillId="0" borderId="4" xfId="22" applyNumberFormat="1" applyFont="1" applyFill="1" applyBorder="1" applyAlignment="1">
      <alignment vertical="center" wrapText="1" shrinkToFit="1"/>
      <protection/>
    </xf>
    <xf numFmtId="0" fontId="5" fillId="0" borderId="4" xfId="22" applyFont="1" applyBorder="1" applyAlignment="1">
      <alignment horizontal="center" vertical="center"/>
      <protection/>
    </xf>
    <xf numFmtId="3" fontId="5" fillId="0" borderId="4" xfId="22" applyNumberFormat="1" applyFont="1" applyBorder="1" applyAlignment="1">
      <alignment horizontal="right"/>
      <protection/>
    </xf>
    <xf numFmtId="3" fontId="6" fillId="0" borderId="4" xfId="22" applyNumberFormat="1" applyFont="1" applyBorder="1" applyAlignment="1">
      <alignment horizontal="right"/>
      <protection/>
    </xf>
    <xf numFmtId="3" fontId="6" fillId="0" borderId="4" xfId="22" applyNumberFormat="1" applyFont="1" applyBorder="1" applyAlignment="1">
      <alignment horizontal="right" shrinkToFit="1"/>
      <protection/>
    </xf>
    <xf numFmtId="173" fontId="6" fillId="2" borderId="4" xfId="22" applyNumberFormat="1" applyFont="1" applyFill="1" applyBorder="1" applyAlignment="1">
      <alignment/>
      <protection/>
    </xf>
    <xf numFmtId="3" fontId="6" fillId="0" borderId="38" xfId="22" applyNumberFormat="1" applyFont="1" applyBorder="1" applyAlignment="1">
      <alignment horizontal="right"/>
      <protection/>
    </xf>
    <xf numFmtId="0" fontId="6" fillId="0" borderId="4" xfId="22" applyFont="1" applyBorder="1" applyAlignment="1">
      <alignment vertical="center" wrapText="1" shrinkToFit="1"/>
      <protection/>
    </xf>
    <xf numFmtId="3" fontId="29" fillId="0" borderId="4" xfId="22" applyNumberFormat="1" applyFont="1" applyBorder="1" applyAlignment="1">
      <alignment/>
      <protection/>
    </xf>
    <xf numFmtId="3" fontId="30" fillId="0" borderId="4" xfId="22" applyNumberFormat="1" applyFont="1" applyBorder="1" applyAlignment="1">
      <alignment/>
      <protection/>
    </xf>
    <xf numFmtId="3" fontId="6" fillId="0" borderId="4" xfId="22" applyNumberFormat="1" applyFont="1" applyBorder="1" applyAlignment="1">
      <alignment/>
      <protection/>
    </xf>
    <xf numFmtId="3" fontId="6" fillId="0" borderId="38" xfId="22" applyNumberFormat="1" applyFont="1" applyBorder="1" applyAlignment="1">
      <alignment/>
      <protection/>
    </xf>
    <xf numFmtId="3" fontId="6" fillId="0" borderId="4" xfId="22" applyNumberFormat="1" applyFont="1" applyBorder="1" applyAlignment="1">
      <alignment shrinkToFit="1"/>
      <protection/>
    </xf>
    <xf numFmtId="3" fontId="6" fillId="0" borderId="38" xfId="22" applyNumberFormat="1" applyFont="1" applyBorder="1" applyAlignment="1">
      <alignment shrinkToFit="1"/>
      <protection/>
    </xf>
    <xf numFmtId="0" fontId="6" fillId="0" borderId="4" xfId="21" applyFont="1" applyBorder="1" applyAlignment="1">
      <alignment vertical="center" wrapText="1" shrinkToFit="1"/>
      <protection/>
    </xf>
    <xf numFmtId="3" fontId="33" fillId="0" borderId="4" xfId="22" applyNumberFormat="1" applyFont="1" applyBorder="1" applyAlignment="1">
      <alignment horizontal="right"/>
      <protection/>
    </xf>
    <xf numFmtId="0" fontId="5" fillId="0" borderId="4" xfId="22" applyFont="1" applyBorder="1" applyAlignment="1">
      <alignment horizontal="center" vertical="center"/>
      <protection/>
    </xf>
    <xf numFmtId="3" fontId="6" fillId="0" borderId="4" xfId="22" applyNumberFormat="1" applyFont="1" applyBorder="1" applyAlignment="1">
      <alignment horizontal="right" shrinkToFit="1"/>
      <protection/>
    </xf>
    <xf numFmtId="173" fontId="6" fillId="2" borderId="4" xfId="22" applyNumberFormat="1" applyFont="1" applyFill="1" applyBorder="1" applyAlignment="1">
      <alignment/>
      <protection/>
    </xf>
    <xf numFmtId="3" fontId="6" fillId="0" borderId="4" xfId="22" applyNumberFormat="1" applyFont="1" applyBorder="1" applyAlignment="1">
      <alignment shrinkToFit="1"/>
      <protection/>
    </xf>
    <xf numFmtId="3" fontId="6" fillId="0" borderId="38" xfId="22" applyNumberFormat="1" applyFont="1" applyBorder="1" applyAlignment="1">
      <alignment shrinkToFit="1"/>
      <protection/>
    </xf>
    <xf numFmtId="3" fontId="5" fillId="0" borderId="4" xfId="22" applyNumberFormat="1" applyFont="1" applyBorder="1" applyAlignment="1">
      <alignment horizontal="right" vertical="center"/>
      <protection/>
    </xf>
    <xf numFmtId="0" fontId="5" fillId="3" borderId="34" xfId="22" applyFont="1" applyFill="1" applyBorder="1" applyAlignment="1">
      <alignment horizontal="center"/>
      <protection/>
    </xf>
    <xf numFmtId="0" fontId="5" fillId="3" borderId="29" xfId="22" applyFont="1" applyFill="1" applyBorder="1" applyAlignment="1">
      <alignment vertical="center" wrapText="1" shrinkToFit="1"/>
      <protection/>
    </xf>
    <xf numFmtId="0" fontId="5" fillId="3" borderId="29" xfId="22" applyFont="1" applyFill="1" applyBorder="1" applyAlignment="1">
      <alignment horizontal="center" vertical="center"/>
      <protection/>
    </xf>
    <xf numFmtId="3" fontId="5" fillId="3" borderId="4" xfId="22" applyNumberFormat="1" applyFont="1" applyFill="1" applyBorder="1" applyAlignment="1">
      <alignment horizontal="right" vertical="center"/>
      <protection/>
    </xf>
    <xf numFmtId="164" fontId="5" fillId="3" borderId="4" xfId="22" applyNumberFormat="1" applyFont="1" applyFill="1" applyBorder="1" applyAlignment="1">
      <alignment vertical="center" wrapText="1"/>
      <protection/>
    </xf>
    <xf numFmtId="0" fontId="5" fillId="3" borderId="4" xfId="22" applyFont="1" applyFill="1" applyBorder="1" applyAlignment="1">
      <alignment horizontal="center"/>
      <protection/>
    </xf>
    <xf numFmtId="3" fontId="5" fillId="3" borderId="4" xfId="22" applyNumberFormat="1" applyFont="1" applyFill="1" applyBorder="1" applyAlignment="1">
      <alignment horizontal="right"/>
      <protection/>
    </xf>
    <xf numFmtId="0" fontId="5" fillId="0" borderId="0" xfId="22" applyFont="1" applyAlignment="1">
      <alignment horizontal="center"/>
      <protection/>
    </xf>
    <xf numFmtId="0" fontId="6" fillId="0" borderId="0" xfId="22" applyFont="1" applyAlignment="1">
      <alignment shrinkToFit="1"/>
      <protection/>
    </xf>
    <xf numFmtId="173" fontId="6" fillId="0" borderId="0" xfId="22" applyNumberFormat="1" applyFont="1">
      <alignment/>
      <protection/>
    </xf>
    <xf numFmtId="0" fontId="5" fillId="2" borderId="10" xfId="22" applyFont="1" applyFill="1" applyBorder="1" applyAlignment="1">
      <alignment horizontal="center" vertical="center" wrapText="1"/>
      <protection/>
    </xf>
    <xf numFmtId="0" fontId="5" fillId="2" borderId="11" xfId="22" applyFont="1" applyFill="1" applyBorder="1" applyAlignment="1">
      <alignment horizontal="center" vertical="center" wrapText="1" shrinkToFit="1"/>
      <protection/>
    </xf>
    <xf numFmtId="0" fontId="5" fillId="2" borderId="20" xfId="22" applyFont="1" applyFill="1" applyBorder="1" applyAlignment="1">
      <alignment horizontal="centerContinuous" wrapText="1"/>
      <protection/>
    </xf>
    <xf numFmtId="0" fontId="5" fillId="2" borderId="21" xfId="22" applyFont="1" applyFill="1" applyBorder="1" applyAlignment="1">
      <alignment horizontal="centerContinuous" wrapText="1"/>
      <protection/>
    </xf>
    <xf numFmtId="0" fontId="5" fillId="2" borderId="44" xfId="22" applyFont="1" applyFill="1" applyBorder="1" applyAlignment="1">
      <alignment horizontal="centerContinuous" wrapText="1"/>
      <protection/>
    </xf>
    <xf numFmtId="49" fontId="23" fillId="2" borderId="16" xfId="20" applyNumberFormat="1" applyFont="1" applyFill="1" applyBorder="1" applyAlignment="1">
      <alignment horizontal="center"/>
      <protection/>
    </xf>
    <xf numFmtId="49" fontId="23" fillId="0" borderId="9" xfId="20" applyNumberFormat="1" applyFont="1" applyBorder="1" applyAlignment="1">
      <alignment horizontal="left" vertical="center" wrapText="1" shrinkToFit="1"/>
      <protection/>
    </xf>
    <xf numFmtId="49" fontId="23" fillId="0" borderId="9" xfId="20" applyNumberFormat="1" applyFont="1" applyBorder="1" applyAlignment="1">
      <alignment horizontal="left" vertical="center" shrinkToFit="1"/>
      <protection/>
    </xf>
    <xf numFmtId="0" fontId="23" fillId="0" borderId="9" xfId="20" applyFont="1" applyFill="1" applyBorder="1" applyAlignment="1">
      <alignment vertical="center" shrinkToFit="1"/>
      <protection/>
    </xf>
    <xf numFmtId="164" fontId="17" fillId="2" borderId="6" xfId="20" applyNumberFormat="1" applyFont="1" applyFill="1" applyBorder="1" applyAlignment="1">
      <alignment horizontal="left" vertical="center" shrinkToFit="1"/>
      <protection/>
    </xf>
    <xf numFmtId="49" fontId="23" fillId="2" borderId="17" xfId="20" applyNumberFormat="1" applyFont="1" applyFill="1" applyBorder="1" applyAlignment="1">
      <alignment horizontal="center" vertical="center"/>
      <protection/>
    </xf>
    <xf numFmtId="49" fontId="23" fillId="0" borderId="29" xfId="20" applyNumberFormat="1" applyFont="1" applyBorder="1" applyAlignment="1">
      <alignment horizontal="left" vertical="center" wrapText="1" shrinkToFit="1"/>
      <protection/>
    </xf>
    <xf numFmtId="0" fontId="27" fillId="0" borderId="14" xfId="22" applyFont="1" applyBorder="1" applyAlignment="1">
      <alignment horizontal="center" vertical="center"/>
      <protection/>
    </xf>
    <xf numFmtId="0" fontId="12" fillId="0" borderId="4" xfId="21" applyFont="1" applyBorder="1" applyAlignment="1">
      <alignment vertical="center" wrapText="1" shrinkToFit="1"/>
      <protection/>
    </xf>
    <xf numFmtId="0" fontId="1" fillId="0" borderId="0" xfId="22" applyFont="1" applyAlignment="1">
      <alignment/>
      <protection/>
    </xf>
    <xf numFmtId="0" fontId="1" fillId="0" borderId="4" xfId="21" applyFont="1" applyBorder="1" applyAlignment="1">
      <alignment vertical="center" wrapText="1" shrinkToFit="1"/>
      <protection/>
    </xf>
    <xf numFmtId="164" fontId="1" fillId="0" borderId="4" xfId="22" applyNumberFormat="1" applyFont="1" applyFill="1" applyBorder="1" applyAlignment="1">
      <alignment vertical="center" wrapText="1" shrinkToFit="1"/>
      <protection/>
    </xf>
    <xf numFmtId="0" fontId="1" fillId="0" borderId="4" xfId="22" applyFont="1" applyBorder="1" applyAlignment="1">
      <alignment vertical="center" wrapText="1" shrinkToFit="1"/>
      <protection/>
    </xf>
    <xf numFmtId="3" fontId="4" fillId="2" borderId="10" xfId="22" applyNumberFormat="1" applyFont="1" applyFill="1" applyBorder="1" applyAlignment="1">
      <alignment horizontal="centerContinuous" vertical="center" wrapText="1"/>
      <protection/>
    </xf>
    <xf numFmtId="0" fontId="1" fillId="0" borderId="4" xfId="22" applyFont="1" applyBorder="1" applyAlignment="1">
      <alignment horizontal="right"/>
      <protection/>
    </xf>
    <xf numFmtId="0" fontId="16" fillId="0" borderId="0" xfId="0" applyFont="1" applyFill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/>
    </xf>
    <xf numFmtId="0" fontId="15" fillId="0" borderId="45" xfId="0" applyFont="1" applyBorder="1" applyAlignment="1">
      <alignment/>
    </xf>
    <xf numFmtId="0" fontId="15" fillId="0" borderId="46" xfId="0" applyFont="1" applyBorder="1" applyAlignment="1">
      <alignment/>
    </xf>
    <xf numFmtId="0" fontId="14" fillId="0" borderId="4" xfId="0" applyFont="1" applyBorder="1" applyAlignment="1">
      <alignment/>
    </xf>
    <xf numFmtId="1" fontId="0" fillId="0" borderId="0" xfId="0" applyNumberFormat="1" applyAlignment="1">
      <alignment/>
    </xf>
    <xf numFmtId="0" fontId="16" fillId="0" borderId="0" xfId="0" applyFont="1" applyAlignment="1">
      <alignment horizontal="center" vertical="center"/>
    </xf>
    <xf numFmtId="0" fontId="15" fillId="0" borderId="28" xfId="0" applyFont="1" applyBorder="1" applyAlignment="1">
      <alignment/>
    </xf>
    <xf numFmtId="0" fontId="16" fillId="0" borderId="0" xfId="0" applyFont="1" applyAlignment="1">
      <alignment horizontal="center" vertical="center" wrapText="1"/>
    </xf>
    <xf numFmtId="0" fontId="14" fillId="4" borderId="4" xfId="0" applyFont="1" applyFill="1" applyBorder="1" applyAlignment="1">
      <alignment/>
    </xf>
    <xf numFmtId="0" fontId="15" fillId="0" borderId="4" xfId="0" applyFont="1" applyBorder="1" applyAlignment="1">
      <alignment wrapText="1"/>
    </xf>
    <xf numFmtId="3" fontId="15" fillId="0" borderId="4" xfId="0" applyNumberFormat="1" applyFont="1" applyBorder="1" applyAlignment="1">
      <alignment/>
    </xf>
    <xf numFmtId="3" fontId="14" fillId="4" borderId="4" xfId="0" applyNumberFormat="1" applyFont="1" applyFill="1" applyBorder="1" applyAlignment="1">
      <alignment/>
    </xf>
    <xf numFmtId="0" fontId="14" fillId="4" borderId="4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4" fillId="0" borderId="28" xfId="0" applyFont="1" applyBorder="1" applyAlignment="1">
      <alignment horizontal="right"/>
    </xf>
    <xf numFmtId="0" fontId="15" fillId="5" borderId="4" xfId="0" applyFont="1" applyFill="1" applyBorder="1" applyAlignment="1">
      <alignment horizontal="center"/>
    </xf>
    <xf numFmtId="0" fontId="15" fillId="5" borderId="4" xfId="0" applyFont="1" applyFill="1" applyBorder="1" applyAlignment="1">
      <alignment/>
    </xf>
    <xf numFmtId="3" fontId="15" fillId="5" borderId="4" xfId="0" applyNumberFormat="1" applyFont="1" applyFill="1" applyBorder="1" applyAlignment="1">
      <alignment/>
    </xf>
    <xf numFmtId="0" fontId="15" fillId="0" borderId="4" xfId="0" applyFont="1" applyBorder="1" applyAlignment="1">
      <alignment horizontal="center"/>
    </xf>
    <xf numFmtId="0" fontId="14" fillId="5" borderId="4" xfId="0" applyFont="1" applyFill="1" applyBorder="1" applyAlignment="1">
      <alignment/>
    </xf>
    <xf numFmtId="3" fontId="14" fillId="5" borderId="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3" fontId="15" fillId="0" borderId="0" xfId="0" applyNumberFormat="1" applyFont="1" applyAlignment="1">
      <alignment/>
    </xf>
    <xf numFmtId="0" fontId="14" fillId="0" borderId="4" xfId="0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3" fontId="14" fillId="0" borderId="4" xfId="0" applyNumberFormat="1" applyFont="1" applyBorder="1" applyAlignment="1">
      <alignment/>
    </xf>
    <xf numFmtId="2" fontId="14" fillId="0" borderId="4" xfId="0" applyNumberFormat="1" applyFont="1" applyBorder="1" applyAlignment="1">
      <alignment/>
    </xf>
    <xf numFmtId="2" fontId="15" fillId="0" borderId="4" xfId="0" applyNumberFormat="1" applyFont="1" applyBorder="1" applyAlignment="1">
      <alignment/>
    </xf>
    <xf numFmtId="16" fontId="15" fillId="0" borderId="4" xfId="0" applyNumberFormat="1" applyFont="1" applyBorder="1" applyAlignment="1">
      <alignment horizontal="center"/>
    </xf>
    <xf numFmtId="16" fontId="14" fillId="0" borderId="4" xfId="0" applyNumberFormat="1" applyFont="1" applyBorder="1" applyAlignment="1">
      <alignment horizontal="center"/>
    </xf>
    <xf numFmtId="2" fontId="28" fillId="4" borderId="4" xfId="0" applyNumberFormat="1" applyFont="1" applyFill="1" applyBorder="1" applyAlignment="1">
      <alignment/>
    </xf>
    <xf numFmtId="2" fontId="14" fillId="4" borderId="4" xfId="0" applyNumberFormat="1" applyFont="1" applyFill="1" applyBorder="1" applyAlignment="1">
      <alignment/>
    </xf>
    <xf numFmtId="0" fontId="25" fillId="0" borderId="4" xfId="0" applyFont="1" applyBorder="1" applyAlignment="1">
      <alignment/>
    </xf>
    <xf numFmtId="3" fontId="25" fillId="0" borderId="4" xfId="0" applyNumberFormat="1" applyFont="1" applyBorder="1" applyAlignment="1">
      <alignment/>
    </xf>
    <xf numFmtId="2" fontId="25" fillId="0" borderId="4" xfId="0" applyNumberFormat="1" applyFont="1" applyBorder="1" applyAlignment="1">
      <alignment/>
    </xf>
    <xf numFmtId="0" fontId="15" fillId="0" borderId="4" xfId="0" applyFont="1" applyBorder="1" applyAlignment="1">
      <alignment horizontal="left"/>
    </xf>
    <xf numFmtId="2" fontId="29" fillId="5" borderId="4" xfId="0" applyNumberFormat="1" applyFont="1" applyFill="1" applyBorder="1" applyAlignment="1">
      <alignment/>
    </xf>
    <xf numFmtId="0" fontId="24" fillId="0" borderId="4" xfId="0" applyFont="1" applyBorder="1" applyAlignment="1">
      <alignment/>
    </xf>
    <xf numFmtId="3" fontId="24" fillId="0" borderId="4" xfId="0" applyNumberFormat="1" applyFont="1" applyBorder="1" applyAlignment="1">
      <alignment/>
    </xf>
    <xf numFmtId="2" fontId="14" fillId="5" borderId="4" xfId="0" applyNumberFormat="1" applyFont="1" applyFill="1" applyBorder="1" applyAlignment="1">
      <alignment/>
    </xf>
    <xf numFmtId="3" fontId="16" fillId="0" borderId="0" xfId="0" applyNumberFormat="1" applyFont="1" applyAlignment="1">
      <alignment/>
    </xf>
    <xf numFmtId="3" fontId="0" fillId="0" borderId="0" xfId="0" applyNumberFormat="1" applyAlignment="1">
      <alignment/>
    </xf>
    <xf numFmtId="14" fontId="15" fillId="0" borderId="4" xfId="0" applyNumberFormat="1" applyFont="1" applyBorder="1" applyAlignment="1">
      <alignment/>
    </xf>
    <xf numFmtId="3" fontId="15" fillId="0" borderId="4" xfId="0" applyNumberFormat="1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14" fontId="14" fillId="0" borderId="4" xfId="0" applyNumberFormat="1" applyFont="1" applyBorder="1" applyAlignment="1">
      <alignment/>
    </xf>
    <xf numFmtId="3" fontId="14" fillId="0" borderId="4" xfId="0" applyNumberFormat="1" applyFont="1" applyFill="1" applyBorder="1" applyAlignment="1">
      <alignment/>
    </xf>
    <xf numFmtId="0" fontId="14" fillId="0" borderId="47" xfId="0" applyFont="1" applyBorder="1" applyAlignment="1">
      <alignment/>
    </xf>
    <xf numFmtId="0" fontId="15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4" borderId="4" xfId="0" applyNumberFormat="1" applyFont="1" applyFill="1" applyBorder="1" applyAlignment="1">
      <alignment horizontal="center"/>
    </xf>
    <xf numFmtId="42" fontId="15" fillId="0" borderId="0" xfId="0" applyNumberFormat="1" applyFont="1" applyAlignment="1">
      <alignment horizontal="righ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16" fillId="2" borderId="48" xfId="0" applyFont="1" applyFill="1" applyBorder="1" applyAlignment="1">
      <alignment horizontal="center" vertical="center" wrapText="1"/>
    </xf>
    <xf numFmtId="0" fontId="38" fillId="0" borderId="49" xfId="0" applyFont="1" applyBorder="1" applyAlignment="1">
      <alignment horizontal="left" vertical="center" wrapText="1"/>
    </xf>
    <xf numFmtId="0" fontId="38" fillId="0" borderId="50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 wrapText="1"/>
    </xf>
    <xf numFmtId="187" fontId="38" fillId="0" borderId="51" xfId="15" applyNumberFormat="1" applyFont="1" applyBorder="1" applyAlignment="1">
      <alignment vertical="center" wrapText="1"/>
    </xf>
    <xf numFmtId="0" fontId="38" fillId="0" borderId="51" xfId="0" applyFont="1" applyBorder="1" applyAlignment="1">
      <alignment vertical="center" wrapText="1"/>
    </xf>
    <xf numFmtId="187" fontId="38" fillId="0" borderId="52" xfId="15" applyNumberFormat="1" applyFont="1" applyBorder="1" applyAlignment="1">
      <alignment vertical="center" wrapText="1"/>
    </xf>
    <xf numFmtId="187" fontId="16" fillId="0" borderId="53" xfId="15" applyNumberFormat="1" applyFont="1" applyBorder="1" applyAlignment="1">
      <alignment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54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 wrapText="1"/>
    </xf>
    <xf numFmtId="187" fontId="38" fillId="0" borderId="29" xfId="15" applyNumberFormat="1" applyFont="1" applyBorder="1" applyAlignment="1">
      <alignment vertical="center" wrapText="1"/>
    </xf>
    <xf numFmtId="187" fontId="38" fillId="0" borderId="12" xfId="15" applyNumberFormat="1" applyFont="1" applyBorder="1" applyAlignment="1">
      <alignment vertical="center" wrapText="1"/>
    </xf>
    <xf numFmtId="0" fontId="38" fillId="0" borderId="29" xfId="0" applyFont="1" applyBorder="1" applyAlignment="1">
      <alignment horizontal="center" vertical="center"/>
    </xf>
    <xf numFmtId="187" fontId="16" fillId="0" borderId="55" xfId="15" applyNumberFormat="1" applyFont="1" applyBorder="1" applyAlignment="1">
      <alignment vertical="center" wrapText="1"/>
    </xf>
    <xf numFmtId="0" fontId="16" fillId="2" borderId="5" xfId="0" applyFont="1" applyFill="1" applyBorder="1" applyAlignment="1">
      <alignment horizontal="left" vertical="center"/>
    </xf>
    <xf numFmtId="0" fontId="16" fillId="2" borderId="5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187" fontId="16" fillId="2" borderId="6" xfId="15" applyNumberFormat="1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187" fontId="16" fillId="2" borderId="57" xfId="15" applyNumberFormat="1" applyFont="1" applyFill="1" applyBorder="1" applyAlignment="1">
      <alignment vertical="center" wrapText="1"/>
    </xf>
    <xf numFmtId="0" fontId="15" fillId="0" borderId="0" xfId="0" applyFont="1" applyAlignment="1">
      <alignment/>
    </xf>
    <xf numFmtId="3" fontId="43" fillId="0" borderId="58" xfId="0" applyNumberFormat="1" applyFont="1" applyBorder="1" applyAlignment="1">
      <alignment horizontal="center"/>
    </xf>
    <xf numFmtId="0" fontId="45" fillId="0" borderId="58" xfId="0" applyFont="1" applyBorder="1" applyAlignment="1">
      <alignment/>
    </xf>
    <xf numFmtId="3" fontId="45" fillId="0" borderId="58" xfId="0" applyNumberFormat="1" applyFont="1" applyBorder="1" applyAlignment="1">
      <alignment horizontal="center"/>
    </xf>
    <xf numFmtId="3" fontId="45" fillId="0" borderId="58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46" fillId="0" borderId="58" xfId="0" applyFont="1" applyBorder="1" applyAlignment="1">
      <alignment/>
    </xf>
    <xf numFmtId="3" fontId="46" fillId="0" borderId="58" xfId="0" applyNumberFormat="1" applyFont="1" applyBorder="1" applyAlignment="1">
      <alignment horizontal="center"/>
    </xf>
    <xf numFmtId="3" fontId="47" fillId="0" borderId="58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43" fillId="0" borderId="58" xfId="0" applyFont="1" applyBorder="1" applyAlignment="1">
      <alignment/>
    </xf>
    <xf numFmtId="0" fontId="47" fillId="0" borderId="58" xfId="0" applyFont="1" applyBorder="1" applyAlignment="1">
      <alignment/>
    </xf>
    <xf numFmtId="3" fontId="43" fillId="0" borderId="58" xfId="0" applyNumberFormat="1" applyFont="1" applyFill="1" applyBorder="1" applyAlignment="1">
      <alignment horizontal="center"/>
    </xf>
    <xf numFmtId="0" fontId="48" fillId="0" borderId="58" xfId="0" applyFont="1" applyBorder="1" applyAlignment="1">
      <alignment/>
    </xf>
    <xf numFmtId="3" fontId="46" fillId="0" borderId="58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49" fillId="0" borderId="58" xfId="0" applyFont="1" applyBorder="1" applyAlignment="1">
      <alignment/>
    </xf>
    <xf numFmtId="3" fontId="50" fillId="0" borderId="58" xfId="0" applyNumberFormat="1" applyFont="1" applyFill="1" applyBorder="1" applyAlignment="1">
      <alignment horizontal="center"/>
    </xf>
    <xf numFmtId="0" fontId="50" fillId="0" borderId="58" xfId="0" applyFont="1" applyBorder="1" applyAlignment="1">
      <alignment/>
    </xf>
    <xf numFmtId="3" fontId="50" fillId="0" borderId="58" xfId="0" applyNumberFormat="1" applyFont="1" applyBorder="1" applyAlignment="1">
      <alignment horizontal="center"/>
    </xf>
    <xf numFmtId="0" fontId="51" fillId="0" borderId="58" xfId="0" applyFont="1" applyBorder="1" applyAlignment="1">
      <alignment horizontal="center"/>
    </xf>
    <xf numFmtId="3" fontId="51" fillId="0" borderId="58" xfId="0" applyNumberFormat="1" applyFont="1" applyBorder="1" applyAlignment="1">
      <alignment horizontal="center"/>
    </xf>
    <xf numFmtId="16" fontId="15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43" fillId="0" borderId="58" xfId="0" applyFont="1" applyBorder="1" applyAlignment="1">
      <alignment horizontal="left"/>
    </xf>
    <xf numFmtId="3" fontId="43" fillId="0" borderId="58" xfId="0" applyNumberFormat="1" applyFont="1" applyBorder="1" applyAlignment="1">
      <alignment horizontal="left"/>
    </xf>
    <xf numFmtId="0" fontId="52" fillId="0" borderId="58" xfId="0" applyFont="1" applyBorder="1" applyAlignment="1">
      <alignment/>
    </xf>
    <xf numFmtId="3" fontId="52" fillId="0" borderId="58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51" fillId="0" borderId="58" xfId="0" applyFont="1" applyBorder="1" applyAlignment="1">
      <alignment horizontal="center"/>
    </xf>
    <xf numFmtId="0" fontId="51" fillId="6" borderId="58" xfId="0" applyFont="1" applyFill="1" applyBorder="1" applyAlignment="1">
      <alignment horizontal="center"/>
    </xf>
    <xf numFmtId="3" fontId="51" fillId="6" borderId="58" xfId="0" applyNumberFormat="1" applyFont="1" applyFill="1" applyBorder="1" applyAlignment="1">
      <alignment horizontal="center"/>
    </xf>
    <xf numFmtId="0" fontId="43" fillId="7" borderId="0" xfId="0" applyFont="1" applyFill="1" applyBorder="1" applyAlignment="1">
      <alignment horizontal="right"/>
    </xf>
    <xf numFmtId="3" fontId="44" fillId="7" borderId="58" xfId="0" applyNumberFormat="1" applyFont="1" applyFill="1" applyBorder="1" applyAlignment="1">
      <alignment horizontal="center"/>
    </xf>
    <xf numFmtId="3" fontId="43" fillId="7" borderId="58" xfId="0" applyNumberFormat="1" applyFont="1" applyFill="1" applyBorder="1" applyAlignment="1">
      <alignment horizontal="center"/>
    </xf>
    <xf numFmtId="3" fontId="45" fillId="5" borderId="58" xfId="0" applyNumberFormat="1" applyFont="1" applyFill="1" applyBorder="1" applyAlignment="1">
      <alignment horizontal="right"/>
    </xf>
    <xf numFmtId="3" fontId="45" fillId="7" borderId="58" xfId="0" applyNumberFormat="1" applyFont="1" applyFill="1" applyBorder="1" applyAlignment="1">
      <alignment horizontal="center"/>
    </xf>
    <xf numFmtId="3" fontId="45" fillId="5" borderId="58" xfId="0" applyNumberFormat="1" applyFont="1" applyFill="1" applyBorder="1" applyAlignment="1">
      <alignment horizontal="center"/>
    </xf>
    <xf numFmtId="3" fontId="46" fillId="5" borderId="58" xfId="0" applyNumberFormat="1" applyFont="1" applyFill="1" applyBorder="1" applyAlignment="1">
      <alignment horizontal="right"/>
    </xf>
    <xf numFmtId="3" fontId="45" fillId="7" borderId="58" xfId="0" applyNumberFormat="1" applyFont="1" applyFill="1" applyBorder="1" applyAlignment="1">
      <alignment horizontal="right"/>
    </xf>
    <xf numFmtId="3" fontId="46" fillId="7" borderId="58" xfId="0" applyNumberFormat="1" applyFont="1" applyFill="1" applyBorder="1" applyAlignment="1">
      <alignment horizontal="center"/>
    </xf>
    <xf numFmtId="3" fontId="47" fillId="7" borderId="58" xfId="0" applyNumberFormat="1" applyFont="1" applyFill="1" applyBorder="1" applyAlignment="1">
      <alignment horizontal="center"/>
    </xf>
    <xf numFmtId="3" fontId="43" fillId="7" borderId="58" xfId="0" applyNumberFormat="1" applyFont="1" applyFill="1" applyBorder="1" applyAlignment="1">
      <alignment horizontal="right"/>
    </xf>
    <xf numFmtId="3" fontId="48" fillId="7" borderId="58" xfId="0" applyNumberFormat="1" applyFont="1" applyFill="1" applyBorder="1" applyAlignment="1">
      <alignment horizontal="center"/>
    </xf>
    <xf numFmtId="3" fontId="43" fillId="5" borderId="58" xfId="0" applyNumberFormat="1" applyFont="1" applyFill="1" applyBorder="1" applyAlignment="1">
      <alignment horizontal="right"/>
    </xf>
    <xf numFmtId="3" fontId="46" fillId="7" borderId="58" xfId="0" applyNumberFormat="1" applyFont="1" applyFill="1" applyBorder="1" applyAlignment="1">
      <alignment horizontal="right"/>
    </xf>
    <xf numFmtId="3" fontId="43" fillId="5" borderId="58" xfId="0" applyNumberFormat="1" applyFont="1" applyFill="1" applyBorder="1" applyAlignment="1">
      <alignment horizontal="center"/>
    </xf>
    <xf numFmtId="3" fontId="46" fillId="5" borderId="58" xfId="0" applyNumberFormat="1" applyFont="1" applyFill="1" applyBorder="1" applyAlignment="1">
      <alignment horizontal="center"/>
    </xf>
    <xf numFmtId="3" fontId="50" fillId="5" borderId="58" xfId="0" applyNumberFormat="1" applyFont="1" applyFill="1" applyBorder="1" applyAlignment="1">
      <alignment horizontal="right"/>
    </xf>
    <xf numFmtId="3" fontId="50" fillId="5" borderId="58" xfId="0" applyNumberFormat="1" applyFont="1" applyFill="1" applyBorder="1" applyAlignment="1">
      <alignment horizontal="center"/>
    </xf>
    <xf numFmtId="3" fontId="50" fillId="7" borderId="58" xfId="0" applyNumberFormat="1" applyFont="1" applyFill="1" applyBorder="1" applyAlignment="1">
      <alignment horizontal="center"/>
    </xf>
    <xf numFmtId="3" fontId="51" fillId="7" borderId="58" xfId="0" applyNumberFormat="1" applyFont="1" applyFill="1" applyBorder="1" applyAlignment="1">
      <alignment horizontal="right"/>
    </xf>
    <xf numFmtId="3" fontId="51" fillId="7" borderId="58" xfId="0" applyNumberFormat="1" applyFont="1" applyFill="1" applyBorder="1" applyAlignment="1">
      <alignment horizontal="center"/>
    </xf>
    <xf numFmtId="3" fontId="50" fillId="7" borderId="58" xfId="0" applyNumberFormat="1" applyFont="1" applyFill="1" applyBorder="1" applyAlignment="1">
      <alignment horizontal="right"/>
    </xf>
    <xf numFmtId="3" fontId="43" fillId="7" borderId="58" xfId="0" applyNumberFormat="1" applyFont="1" applyFill="1" applyBorder="1" applyAlignment="1">
      <alignment horizontal="left"/>
    </xf>
    <xf numFmtId="3" fontId="52" fillId="7" borderId="58" xfId="0" applyNumberFormat="1" applyFont="1" applyFill="1" applyBorder="1" applyAlignment="1">
      <alignment horizontal="right"/>
    </xf>
    <xf numFmtId="3" fontId="15" fillId="5" borderId="0" xfId="0" applyNumberFormat="1" applyFont="1" applyFill="1" applyAlignment="1">
      <alignment horizontal="right"/>
    </xf>
    <xf numFmtId="3" fontId="15" fillId="5" borderId="0" xfId="0" applyNumberFormat="1" applyFont="1" applyFill="1" applyAlignment="1">
      <alignment/>
    </xf>
    <xf numFmtId="3" fontId="46" fillId="5" borderId="59" xfId="0" applyNumberFormat="1" applyFont="1" applyFill="1" applyBorder="1" applyAlignment="1">
      <alignment horizontal="right"/>
    </xf>
    <xf numFmtId="0" fontId="54" fillId="0" borderId="4" xfId="0" applyFont="1" applyBorder="1" applyAlignment="1">
      <alignment wrapText="1"/>
    </xf>
    <xf numFmtId="0" fontId="54" fillId="0" borderId="4" xfId="0" applyFont="1" applyBorder="1" applyAlignment="1">
      <alignment horizontal="center" wrapText="1"/>
    </xf>
    <xf numFmtId="0" fontId="55" fillId="0" borderId="4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56" fillId="0" borderId="29" xfId="0" applyFont="1" applyBorder="1" applyAlignment="1">
      <alignment horizontal="center" wrapText="1"/>
    </xf>
    <xf numFmtId="0" fontId="56" fillId="0" borderId="29" xfId="0" applyFont="1" applyBorder="1" applyAlignment="1">
      <alignment wrapText="1"/>
    </xf>
    <xf numFmtId="0" fontId="56" fillId="0" borderId="9" xfId="0" applyFont="1" applyBorder="1" applyAlignment="1">
      <alignment horizontal="center" wrapText="1"/>
    </xf>
    <xf numFmtId="0" fontId="56" fillId="0" borderId="9" xfId="0" applyFont="1" applyBorder="1" applyAlignment="1">
      <alignment wrapText="1"/>
    </xf>
    <xf numFmtId="0" fontId="56" fillId="0" borderId="24" xfId="0" applyFont="1" applyBorder="1" applyAlignment="1">
      <alignment wrapText="1"/>
    </xf>
    <xf numFmtId="0" fontId="56" fillId="0" borderId="33" xfId="0" applyFont="1" applyBorder="1" applyAlignment="1">
      <alignment horizontal="center" wrapText="1"/>
    </xf>
    <xf numFmtId="0" fontId="56" fillId="0" borderId="33" xfId="0" applyFont="1" applyBorder="1" applyAlignment="1">
      <alignment wrapText="1"/>
    </xf>
    <xf numFmtId="0" fontId="55" fillId="0" borderId="45" xfId="0" applyFont="1" applyBorder="1" applyAlignment="1">
      <alignment wrapText="1"/>
    </xf>
    <xf numFmtId="0" fontId="56" fillId="0" borderId="0" xfId="0" applyFont="1" applyAlignment="1">
      <alignment/>
    </xf>
    <xf numFmtId="0" fontId="56" fillId="0" borderId="0" xfId="0" applyFont="1" applyAlignment="1">
      <alignment vertical="top"/>
    </xf>
    <xf numFmtId="0" fontId="56" fillId="0" borderId="0" xfId="0" applyFont="1" applyAlignment="1">
      <alignment horizontal="left" wrapText="1"/>
    </xf>
    <xf numFmtId="3" fontId="28" fillId="4" borderId="4" xfId="0" applyNumberFormat="1" applyFont="1" applyFill="1" applyBorder="1" applyAlignment="1">
      <alignment/>
    </xf>
    <xf numFmtId="3" fontId="29" fillId="5" borderId="4" xfId="0" applyNumberFormat="1" applyFont="1" applyFill="1" applyBorder="1" applyAlignment="1">
      <alignment/>
    </xf>
    <xf numFmtId="3" fontId="1" fillId="0" borderId="0" xfId="22" applyNumberFormat="1" applyFont="1">
      <alignment/>
      <protection/>
    </xf>
    <xf numFmtId="164" fontId="5" fillId="0" borderId="4" xfId="22" applyNumberFormat="1" applyFont="1" applyFill="1" applyBorder="1" applyAlignment="1">
      <alignment vertical="center" wrapText="1" shrinkToFit="1"/>
      <protection/>
    </xf>
    <xf numFmtId="3" fontId="5" fillId="0" borderId="4" xfId="22" applyNumberFormat="1" applyFont="1" applyBorder="1" applyAlignment="1">
      <alignment horizontal="right" shrinkToFit="1"/>
      <protection/>
    </xf>
    <xf numFmtId="173" fontId="5" fillId="2" borderId="4" xfId="22" applyNumberFormat="1" applyFont="1" applyFill="1" applyBorder="1" applyAlignment="1">
      <alignment/>
      <protection/>
    </xf>
    <xf numFmtId="0" fontId="57" fillId="0" borderId="0" xfId="0" applyFont="1" applyAlignment="1">
      <alignment/>
    </xf>
    <xf numFmtId="0" fontId="5" fillId="0" borderId="4" xfId="22" applyFont="1" applyBorder="1" applyAlignment="1">
      <alignment vertical="center" wrapText="1" shrinkToFit="1"/>
      <protection/>
    </xf>
    <xf numFmtId="0" fontId="10" fillId="0" borderId="0" xfId="22" applyFont="1" applyAlignment="1">
      <alignment horizontal="left" vertical="center"/>
      <protection/>
    </xf>
    <xf numFmtId="0" fontId="17" fillId="0" borderId="0" xfId="22" applyFont="1" applyAlignment="1">
      <alignment vertical="center" shrinkToFit="1"/>
      <protection/>
    </xf>
    <xf numFmtId="0" fontId="17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56" fillId="0" borderId="0" xfId="0" applyFont="1" applyAlignment="1">
      <alignment/>
    </xf>
    <xf numFmtId="0" fontId="10" fillId="0" borderId="0" xfId="22" applyFont="1" applyAlignment="1">
      <alignment horizontal="center" vertical="center"/>
      <protection/>
    </xf>
    <xf numFmtId="0" fontId="17" fillId="0" borderId="1" xfId="22" applyFont="1" applyBorder="1" applyAlignment="1">
      <alignment vertical="center" shrinkToFit="1"/>
      <protection/>
    </xf>
    <xf numFmtId="0" fontId="17" fillId="0" borderId="1" xfId="22" applyFont="1" applyBorder="1" applyAlignment="1">
      <alignment vertical="center"/>
      <protection/>
    </xf>
    <xf numFmtId="0" fontId="31" fillId="0" borderId="0" xfId="22" applyFont="1" applyFill="1" applyAlignment="1">
      <alignment horizontal="right" vertical="center"/>
      <protection/>
    </xf>
    <xf numFmtId="0" fontId="10" fillId="2" borderId="25" xfId="22" applyFont="1" applyFill="1" applyBorder="1" applyAlignment="1">
      <alignment horizontal="center" vertical="center"/>
      <protection/>
    </xf>
    <xf numFmtId="0" fontId="10" fillId="2" borderId="2" xfId="22" applyFont="1" applyFill="1" applyBorder="1" applyAlignment="1">
      <alignment horizontal="center" vertical="center" shrinkToFit="1"/>
      <protection/>
    </xf>
    <xf numFmtId="0" fontId="10" fillId="2" borderId="18" xfId="22" applyFont="1" applyFill="1" applyBorder="1" applyAlignment="1">
      <alignment horizontal="center" vertical="center"/>
      <protection/>
    </xf>
    <xf numFmtId="0" fontId="10" fillId="2" borderId="20" xfId="22" applyFont="1" applyFill="1" applyBorder="1" applyAlignment="1">
      <alignment horizontal="centerContinuous"/>
      <protection/>
    </xf>
    <xf numFmtId="0" fontId="10" fillId="2" borderId="21" xfId="22" applyFont="1" applyFill="1" applyBorder="1" applyAlignment="1">
      <alignment horizontal="centerContinuous"/>
      <protection/>
    </xf>
    <xf numFmtId="0" fontId="10" fillId="2" borderId="43" xfId="22" applyFont="1" applyFill="1" applyBorder="1" applyAlignment="1">
      <alignment horizontal="centerContinuous"/>
      <protection/>
    </xf>
    <xf numFmtId="0" fontId="10" fillId="2" borderId="20" xfId="22" applyFont="1" applyFill="1" applyBorder="1" applyAlignment="1">
      <alignment horizontal="centerContinuous" wrapText="1"/>
      <protection/>
    </xf>
    <xf numFmtId="0" fontId="10" fillId="2" borderId="21" xfId="22" applyFont="1" applyFill="1" applyBorder="1" applyAlignment="1">
      <alignment horizontal="centerContinuous" wrapText="1"/>
      <protection/>
    </xf>
    <xf numFmtId="0" fontId="10" fillId="2" borderId="44" xfId="22" applyFont="1" applyFill="1" applyBorder="1" applyAlignment="1">
      <alignment horizontal="centerContinuous" wrapText="1"/>
      <protection/>
    </xf>
    <xf numFmtId="0" fontId="10" fillId="2" borderId="15" xfId="22" applyFont="1" applyFill="1" applyBorder="1" applyAlignment="1">
      <alignment horizontal="center" vertical="center"/>
      <protection/>
    </xf>
    <xf numFmtId="0" fontId="10" fillId="2" borderId="22" xfId="22" applyFont="1" applyFill="1" applyBorder="1" applyAlignment="1">
      <alignment horizontal="center" vertical="center" shrinkToFit="1"/>
      <protection/>
    </xf>
    <xf numFmtId="0" fontId="10" fillId="2" borderId="10" xfId="22" applyFont="1" applyFill="1" applyBorder="1" applyAlignment="1">
      <alignment horizontal="center" vertical="center"/>
      <protection/>
    </xf>
    <xf numFmtId="0" fontId="10" fillId="2" borderId="9" xfId="22" applyFont="1" applyFill="1" applyBorder="1" applyAlignment="1">
      <alignment horizontal="center" vertical="center"/>
      <protection/>
    </xf>
    <xf numFmtId="0" fontId="10" fillId="2" borderId="10" xfId="22" applyFont="1" applyFill="1" applyBorder="1" applyAlignment="1">
      <alignment horizontal="center"/>
      <protection/>
    </xf>
    <xf numFmtId="0" fontId="10" fillId="2" borderId="10" xfId="22" applyFont="1" applyFill="1" applyBorder="1" applyAlignment="1">
      <alignment horizontal="center" vertical="center" wrapText="1"/>
      <protection/>
    </xf>
    <xf numFmtId="0" fontId="10" fillId="2" borderId="11" xfId="22" applyFont="1" applyFill="1" applyBorder="1" applyAlignment="1">
      <alignment horizontal="center" vertical="center" wrapText="1" shrinkToFit="1"/>
      <protection/>
    </xf>
    <xf numFmtId="0" fontId="10" fillId="2" borderId="26" xfId="22" applyFont="1" applyFill="1" applyBorder="1" applyAlignment="1">
      <alignment horizontal="center" vertical="center"/>
      <protection/>
    </xf>
    <xf numFmtId="0" fontId="10" fillId="2" borderId="22" xfId="22" applyFont="1" applyFill="1" applyBorder="1" applyAlignment="1">
      <alignment horizontal="center" vertical="center"/>
      <protection/>
    </xf>
    <xf numFmtId="0" fontId="10" fillId="2" borderId="23" xfId="22" applyFont="1" applyFill="1" applyBorder="1" applyAlignment="1">
      <alignment horizontal="center" vertical="center"/>
      <protection/>
    </xf>
    <xf numFmtId="0" fontId="10" fillId="2" borderId="41" xfId="22" applyFont="1" applyFill="1" applyBorder="1" applyAlignment="1">
      <alignment horizontal="center" vertical="center" shrinkToFit="1"/>
      <protection/>
    </xf>
    <xf numFmtId="0" fontId="10" fillId="2" borderId="27" xfId="22" applyFont="1" applyFill="1" applyBorder="1" applyAlignment="1">
      <alignment horizontal="center"/>
      <protection/>
    </xf>
    <xf numFmtId="0" fontId="10" fillId="2" borderId="20" xfId="22" applyFont="1" applyFill="1" applyBorder="1" applyAlignment="1">
      <alignment horizontal="left" shrinkToFit="1"/>
      <protection/>
    </xf>
    <xf numFmtId="0" fontId="10" fillId="2" borderId="21" xfId="22" applyFont="1" applyFill="1" applyBorder="1" applyAlignment="1">
      <alignment/>
      <protection/>
    </xf>
    <xf numFmtId="3" fontId="10" fillId="2" borderId="21" xfId="22" applyNumberFormat="1" applyFont="1" applyFill="1" applyBorder="1" applyAlignment="1">
      <alignment horizontal="center"/>
      <protection/>
    </xf>
    <xf numFmtId="0" fontId="10" fillId="2" borderId="21" xfId="22" applyFont="1" applyFill="1" applyBorder="1" applyAlignment="1">
      <alignment horizontal="center"/>
      <protection/>
    </xf>
    <xf numFmtId="3" fontId="10" fillId="2" borderId="21" xfId="22" applyNumberFormat="1" applyFont="1" applyFill="1" applyBorder="1" applyAlignment="1">
      <alignment/>
      <protection/>
    </xf>
    <xf numFmtId="3" fontId="10" fillId="2" borderId="44" xfId="22" applyNumberFormat="1" applyFont="1" applyFill="1" applyBorder="1" applyAlignment="1">
      <alignment/>
      <protection/>
    </xf>
    <xf numFmtId="0" fontId="10" fillId="2" borderId="34" xfId="22" applyFont="1" applyFill="1" applyBorder="1" applyAlignment="1">
      <alignment horizontal="center"/>
      <protection/>
    </xf>
    <xf numFmtId="0" fontId="10" fillId="0" borderId="4" xfId="21" applyFont="1" applyBorder="1" applyAlignment="1">
      <alignment vertical="center" wrapText="1" shrinkToFit="1"/>
      <protection/>
    </xf>
    <xf numFmtId="0" fontId="10" fillId="0" borderId="4" xfId="22" applyFont="1" applyBorder="1" applyAlignment="1">
      <alignment horizontal="center" vertical="center"/>
      <protection/>
    </xf>
    <xf numFmtId="3" fontId="10" fillId="0" borderId="4" xfId="22" applyNumberFormat="1" applyFont="1" applyBorder="1" applyAlignment="1">
      <alignment horizontal="right"/>
      <protection/>
    </xf>
    <xf numFmtId="3" fontId="10" fillId="0" borderId="4" xfId="22" applyNumberFormat="1" applyFont="1" applyBorder="1" applyAlignment="1">
      <alignment horizontal="right" shrinkToFit="1"/>
      <protection/>
    </xf>
    <xf numFmtId="173" fontId="10" fillId="2" borderId="4" xfId="22" applyNumberFormat="1" applyFont="1" applyFill="1" applyBorder="1" applyAlignment="1">
      <alignment/>
      <protection/>
    </xf>
    <xf numFmtId="3" fontId="10" fillId="0" borderId="38" xfId="22" applyNumberFormat="1" applyFont="1" applyBorder="1" applyAlignment="1">
      <alignment horizontal="right"/>
      <protection/>
    </xf>
    <xf numFmtId="0" fontId="54" fillId="0" borderId="0" xfId="0" applyFont="1" applyAlignment="1">
      <alignment/>
    </xf>
    <xf numFmtId="164" fontId="10" fillId="0" borderId="4" xfId="22" applyNumberFormat="1" applyFont="1" applyFill="1" applyBorder="1" applyAlignment="1">
      <alignment vertical="center" wrapText="1" shrinkToFit="1"/>
      <protection/>
    </xf>
    <xf numFmtId="164" fontId="17" fillId="0" borderId="4" xfId="22" applyNumberFormat="1" applyFont="1" applyFill="1" applyBorder="1" applyAlignment="1">
      <alignment vertical="center" wrapText="1" shrinkToFit="1"/>
      <protection/>
    </xf>
    <xf numFmtId="3" fontId="17" fillId="0" borderId="4" xfId="22" applyNumberFormat="1" applyFont="1" applyBorder="1" applyAlignment="1">
      <alignment horizontal="right"/>
      <protection/>
    </xf>
    <xf numFmtId="3" fontId="17" fillId="0" borderId="4" xfId="22" applyNumberFormat="1" applyFont="1" applyBorder="1" applyAlignment="1">
      <alignment horizontal="right" shrinkToFit="1"/>
      <protection/>
    </xf>
    <xf numFmtId="173" fontId="17" fillId="2" borderId="4" xfId="22" applyNumberFormat="1" applyFont="1" applyFill="1" applyBorder="1" applyAlignment="1">
      <alignment/>
      <protection/>
    </xf>
    <xf numFmtId="3" fontId="17" fillId="0" borderId="38" xfId="22" applyNumberFormat="1" applyFont="1" applyBorder="1" applyAlignment="1">
      <alignment horizontal="right"/>
      <protection/>
    </xf>
    <xf numFmtId="0" fontId="10" fillId="0" borderId="4" xfId="22" applyFont="1" applyBorder="1" applyAlignment="1">
      <alignment vertical="center" wrapText="1" shrinkToFit="1"/>
      <protection/>
    </xf>
    <xf numFmtId="3" fontId="16" fillId="0" borderId="4" xfId="22" applyNumberFormat="1" applyFont="1" applyBorder="1" applyAlignment="1">
      <alignment/>
      <protection/>
    </xf>
    <xf numFmtId="3" fontId="10" fillId="0" borderId="4" xfId="22" applyNumberFormat="1" applyFont="1" applyBorder="1" applyAlignment="1">
      <alignment/>
      <protection/>
    </xf>
    <xf numFmtId="3" fontId="10" fillId="0" borderId="38" xfId="22" applyNumberFormat="1" applyFont="1" applyBorder="1" applyAlignment="1">
      <alignment/>
      <protection/>
    </xf>
    <xf numFmtId="3" fontId="10" fillId="0" borderId="4" xfId="22" applyNumberFormat="1" applyFont="1" applyBorder="1" applyAlignment="1">
      <alignment shrinkToFit="1"/>
      <protection/>
    </xf>
    <xf numFmtId="3" fontId="10" fillId="0" borderId="38" xfId="22" applyNumberFormat="1" applyFont="1" applyBorder="1" applyAlignment="1">
      <alignment shrinkToFit="1"/>
      <protection/>
    </xf>
    <xf numFmtId="0" fontId="17" fillId="0" borderId="4" xfId="21" applyFont="1" applyBorder="1" applyAlignment="1">
      <alignment vertical="center" wrapText="1" shrinkToFit="1"/>
      <protection/>
    </xf>
    <xf numFmtId="3" fontId="17" fillId="0" borderId="4" xfId="22" applyNumberFormat="1" applyFont="1" applyBorder="1" applyAlignment="1">
      <alignment/>
      <protection/>
    </xf>
    <xf numFmtId="3" fontId="17" fillId="0" borderId="4" xfId="22" applyNumberFormat="1" applyFont="1" applyBorder="1" applyAlignment="1">
      <alignment shrinkToFit="1"/>
      <protection/>
    </xf>
    <xf numFmtId="3" fontId="17" fillId="0" borderId="38" xfId="22" applyNumberFormat="1" applyFont="1" applyBorder="1" applyAlignment="1">
      <alignment shrinkToFit="1"/>
      <protection/>
    </xf>
    <xf numFmtId="3" fontId="31" fillId="0" borderId="4" xfId="22" applyNumberFormat="1" applyFont="1" applyBorder="1" applyAlignment="1">
      <alignment horizontal="right"/>
      <protection/>
    </xf>
    <xf numFmtId="0" fontId="10" fillId="0" borderId="4" xfId="22" applyFont="1" applyBorder="1" applyAlignment="1">
      <alignment horizontal="center" vertical="center"/>
      <protection/>
    </xf>
    <xf numFmtId="3" fontId="10" fillId="0" borderId="4" xfId="22" applyNumberFormat="1" applyFont="1" applyBorder="1" applyAlignment="1">
      <alignment horizontal="right"/>
      <protection/>
    </xf>
    <xf numFmtId="3" fontId="17" fillId="0" borderId="4" xfId="22" applyNumberFormat="1" applyFont="1" applyBorder="1" applyAlignment="1">
      <alignment horizontal="right"/>
      <protection/>
    </xf>
    <xf numFmtId="3" fontId="17" fillId="0" borderId="4" xfId="22" applyNumberFormat="1" applyFont="1" applyBorder="1" applyAlignment="1">
      <alignment horizontal="right" shrinkToFit="1"/>
      <protection/>
    </xf>
    <xf numFmtId="173" fontId="17" fillId="2" borderId="4" xfId="22" applyNumberFormat="1" applyFont="1" applyFill="1" applyBorder="1" applyAlignment="1">
      <alignment/>
      <protection/>
    </xf>
    <xf numFmtId="3" fontId="17" fillId="0" borderId="4" xfId="22" applyNumberFormat="1" applyFont="1" applyBorder="1" applyAlignment="1">
      <alignment/>
      <protection/>
    </xf>
    <xf numFmtId="3" fontId="17" fillId="0" borderId="4" xfId="22" applyNumberFormat="1" applyFont="1" applyBorder="1" applyAlignment="1">
      <alignment shrinkToFit="1"/>
      <protection/>
    </xf>
    <xf numFmtId="3" fontId="17" fillId="0" borderId="38" xfId="22" applyNumberFormat="1" applyFont="1" applyBorder="1" applyAlignment="1">
      <alignment shrinkToFit="1"/>
      <protection/>
    </xf>
    <xf numFmtId="0" fontId="10" fillId="0" borderId="29" xfId="22" applyFont="1" applyBorder="1" applyAlignment="1">
      <alignment horizontal="center" vertical="center"/>
      <protection/>
    </xf>
    <xf numFmtId="3" fontId="10" fillId="0" borderId="4" xfId="22" applyNumberFormat="1" applyFont="1" applyBorder="1" applyAlignment="1">
      <alignment horizontal="right" vertical="center"/>
      <protection/>
    </xf>
    <xf numFmtId="0" fontId="10" fillId="3" borderId="4" xfId="22" applyFont="1" applyFill="1" applyBorder="1" applyAlignment="1">
      <alignment horizontal="center"/>
      <protection/>
    </xf>
    <xf numFmtId="0" fontId="10" fillId="3" borderId="4" xfId="22" applyFont="1" applyFill="1" applyBorder="1" applyAlignment="1">
      <alignment vertical="center" wrapText="1" shrinkToFit="1"/>
      <protection/>
    </xf>
    <xf numFmtId="0" fontId="10" fillId="3" borderId="4" xfId="22" applyFont="1" applyFill="1" applyBorder="1" applyAlignment="1">
      <alignment horizontal="center" vertical="center"/>
      <protection/>
    </xf>
    <xf numFmtId="3" fontId="10" fillId="3" borderId="4" xfId="22" applyNumberFormat="1" applyFont="1" applyFill="1" applyBorder="1" applyAlignment="1">
      <alignment horizontal="right" vertical="center"/>
      <protection/>
    </xf>
    <xf numFmtId="0" fontId="10" fillId="0" borderId="0" xfId="22" applyFont="1" applyAlignment="1">
      <alignment horizontal="center"/>
      <protection/>
    </xf>
    <xf numFmtId="0" fontId="17" fillId="0" borderId="0" xfId="22" applyFont="1" applyAlignment="1">
      <alignment shrinkToFit="1"/>
      <protection/>
    </xf>
    <xf numFmtId="0" fontId="17" fillId="0" borderId="0" xfId="22" applyFont="1">
      <alignment/>
      <protection/>
    </xf>
    <xf numFmtId="3" fontId="17" fillId="0" borderId="0" xfId="22" applyNumberFormat="1" applyFont="1">
      <alignment/>
      <protection/>
    </xf>
    <xf numFmtId="0" fontId="17" fillId="0" borderId="0" xfId="22" applyFont="1" applyAlignment="1">
      <alignment/>
      <protection/>
    </xf>
    <xf numFmtId="0" fontId="17" fillId="0" borderId="0" xfId="22" applyFont="1">
      <alignment/>
      <protection/>
    </xf>
    <xf numFmtId="173" fontId="17" fillId="0" borderId="0" xfId="22" applyNumberFormat="1" applyFont="1">
      <alignment/>
      <protection/>
    </xf>
    <xf numFmtId="0" fontId="17" fillId="0" borderId="0" xfId="22" applyFont="1" applyAlignment="1">
      <alignment shrinkToFit="1"/>
      <protection/>
    </xf>
    <xf numFmtId="1" fontId="17" fillId="0" borderId="0" xfId="22" applyNumberFormat="1" applyFont="1">
      <alignment/>
      <protection/>
    </xf>
    <xf numFmtId="3" fontId="17" fillId="0" borderId="0" xfId="22" applyNumberFormat="1" applyFont="1">
      <alignment/>
      <protection/>
    </xf>
    <xf numFmtId="0" fontId="6" fillId="0" borderId="0" xfId="22" applyFont="1" applyBorder="1" applyAlignment="1">
      <alignment vertical="center" shrinkToFit="1"/>
      <protection/>
    </xf>
    <xf numFmtId="0" fontId="6" fillId="0" borderId="0" xfId="22" applyFont="1" applyBorder="1" applyAlignment="1">
      <alignment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 shrinkToFit="1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/>
      <protection/>
    </xf>
    <xf numFmtId="0" fontId="5" fillId="2" borderId="4" xfId="22" applyFont="1" applyFill="1" applyBorder="1" applyAlignment="1">
      <alignment horizontal="centerContinuous" wrapText="1"/>
      <protection/>
    </xf>
    <xf numFmtId="0" fontId="5" fillId="2" borderId="4" xfId="22" applyFont="1" applyFill="1" applyBorder="1" applyAlignment="1">
      <alignment horizontal="center" vertical="center" wrapText="1" shrinkToFit="1"/>
      <protection/>
    </xf>
    <xf numFmtId="0" fontId="5" fillId="2" borderId="4" xfId="22" applyFont="1" applyFill="1" applyBorder="1" applyAlignment="1">
      <alignment horizontal="center"/>
      <protection/>
    </xf>
    <xf numFmtId="0" fontId="6" fillId="0" borderId="4" xfId="22" applyFont="1" applyBorder="1">
      <alignment/>
      <protection/>
    </xf>
    <xf numFmtId="0" fontId="6" fillId="0" borderId="4" xfId="22" applyFont="1" applyBorder="1">
      <alignment/>
      <protection/>
    </xf>
    <xf numFmtId="0" fontId="5" fillId="0" borderId="4" xfId="22" applyFont="1" applyBorder="1">
      <alignment/>
      <protection/>
    </xf>
    <xf numFmtId="3" fontId="5" fillId="0" borderId="4" xfId="22" applyNumberFormat="1" applyFont="1" applyBorder="1">
      <alignment/>
      <protection/>
    </xf>
    <xf numFmtId="0" fontId="15" fillId="0" borderId="33" xfId="0" applyFont="1" applyFill="1" applyBorder="1" applyAlignment="1">
      <alignment horizontal="center" vertical="center" wrapText="1"/>
    </xf>
    <xf numFmtId="0" fontId="40" fillId="8" borderId="2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60" fillId="0" borderId="0" xfId="22" applyFont="1" applyAlignment="1">
      <alignment horizontal="center"/>
      <protection/>
    </xf>
    <xf numFmtId="0" fontId="10" fillId="2" borderId="20" xfId="22" applyFont="1" applyFill="1" applyBorder="1" applyAlignment="1">
      <alignment horizontal="center" vertical="center"/>
      <protection/>
    </xf>
    <xf numFmtId="0" fontId="14" fillId="0" borderId="2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6" fillId="0" borderId="0" xfId="0" applyFont="1" applyAlignment="1">
      <alignment/>
    </xf>
    <xf numFmtId="0" fontId="53" fillId="0" borderId="28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15" fillId="0" borderId="28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3" fontId="14" fillId="0" borderId="29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0" fillId="0" borderId="33" xfId="0" applyNumberFormat="1" applyFont="1" applyFill="1" applyBorder="1" applyAlignment="1">
      <alignment horizontal="center" vertical="center" wrapText="1"/>
    </xf>
    <xf numFmtId="3" fontId="15" fillId="0" borderId="9" xfId="0" applyNumberFormat="1" applyFont="1" applyFill="1" applyBorder="1" applyAlignment="1">
      <alignment horizontal="center" vertical="center" wrapText="1"/>
    </xf>
    <xf numFmtId="3" fontId="15" fillId="0" borderId="33" xfId="0" applyNumberFormat="1" applyFont="1" applyFill="1" applyBorder="1" applyAlignment="1">
      <alignment horizontal="center" vertical="center" wrapText="1"/>
    </xf>
    <xf numFmtId="0" fontId="10" fillId="2" borderId="43" xfId="22" applyFont="1" applyFill="1" applyBorder="1" applyAlignment="1">
      <alignment horizontal="center" vertical="center"/>
      <protection/>
    </xf>
    <xf numFmtId="0" fontId="10" fillId="2" borderId="21" xfId="22" applyFont="1" applyFill="1" applyBorder="1" applyAlignment="1">
      <alignment horizontal="center"/>
      <protection/>
    </xf>
    <xf numFmtId="0" fontId="5" fillId="0" borderId="60" xfId="22" applyFont="1" applyBorder="1" applyAlignment="1">
      <alignment horizontal="center" vertical="center"/>
      <protection/>
    </xf>
    <xf numFmtId="0" fontId="5" fillId="0" borderId="61" xfId="22" applyFont="1" applyBorder="1" applyAlignment="1">
      <alignment horizontal="center" vertical="center"/>
      <protection/>
    </xf>
    <xf numFmtId="0" fontId="5" fillId="0" borderId="62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/>
      <protection/>
    </xf>
    <xf numFmtId="0" fontId="5" fillId="2" borderId="20" xfId="22" applyFont="1" applyFill="1" applyBorder="1" applyAlignment="1">
      <alignment horizontal="center" vertical="center"/>
      <protection/>
    </xf>
    <xf numFmtId="0" fontId="5" fillId="2" borderId="43" xfId="22" applyFont="1" applyFill="1" applyBorder="1" applyAlignment="1">
      <alignment horizontal="center" vertical="center"/>
      <protection/>
    </xf>
    <xf numFmtId="0" fontId="5" fillId="2" borderId="21" xfId="22" applyFont="1" applyFill="1" applyBorder="1" applyAlignment="1">
      <alignment horizont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3" fontId="5" fillId="2" borderId="40" xfId="22" applyNumberFormat="1" applyFont="1" applyFill="1" applyBorder="1" applyAlignment="1">
      <alignment horizontal="center" vertical="center"/>
      <protection/>
    </xf>
    <xf numFmtId="3" fontId="5" fillId="2" borderId="63" xfId="22" applyNumberFormat="1" applyFont="1" applyFill="1" applyBorder="1" applyAlignment="1">
      <alignment horizontal="center" vertical="center"/>
      <protection/>
    </xf>
    <xf numFmtId="3" fontId="5" fillId="2" borderId="22" xfId="22" applyNumberFormat="1" applyFont="1" applyFill="1" applyBorder="1" applyAlignment="1">
      <alignment horizontal="center" vertical="center"/>
      <protection/>
    </xf>
    <xf numFmtId="3" fontId="5" fillId="2" borderId="1" xfId="22" applyNumberFormat="1" applyFont="1" applyFill="1" applyBorder="1" applyAlignment="1">
      <alignment horizontal="center" vertical="center"/>
      <protection/>
    </xf>
    <xf numFmtId="3" fontId="5" fillId="2" borderId="31" xfId="22" applyNumberFormat="1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/>
      <protection/>
    </xf>
    <xf numFmtId="3" fontId="5" fillId="3" borderId="4" xfId="22" applyNumberFormat="1" applyFont="1" applyFill="1" applyBorder="1" applyAlignment="1">
      <alignment horizontal="right"/>
      <protection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3" fontId="5" fillId="0" borderId="4" xfId="22" applyNumberFormat="1" applyFont="1" applyBorder="1" applyAlignment="1">
      <alignment horizontal="right" vertical="center"/>
      <protection/>
    </xf>
    <xf numFmtId="3" fontId="5" fillId="0" borderId="4" xfId="22" applyNumberFormat="1" applyFont="1" applyBorder="1" applyAlignment="1">
      <alignment horizontal="right"/>
      <protection/>
    </xf>
    <xf numFmtId="0" fontId="5" fillId="0" borderId="4" xfId="22" applyFont="1" applyBorder="1" applyAlignment="1">
      <alignment horizontal="right"/>
      <protection/>
    </xf>
    <xf numFmtId="0" fontId="6" fillId="0" borderId="4" xfId="22" applyFont="1" applyBorder="1" applyAlignment="1">
      <alignment horizontal="right"/>
      <protection/>
    </xf>
    <xf numFmtId="0" fontId="11" fillId="2" borderId="3" xfId="22" applyFont="1" applyFill="1" applyBorder="1" applyAlignment="1">
      <alignment horizontal="left" vertical="center"/>
      <protection/>
    </xf>
    <xf numFmtId="0" fontId="11" fillId="2" borderId="1" xfId="22" applyFont="1" applyFill="1" applyBorder="1" applyAlignment="1">
      <alignment horizontal="left" vertical="center"/>
      <protection/>
    </xf>
    <xf numFmtId="0" fontId="4" fillId="3" borderId="42" xfId="22" applyFont="1" applyFill="1" applyBorder="1" applyAlignment="1">
      <alignment horizontal="center" vertical="center" wrapText="1" shrinkToFit="1"/>
      <protection/>
    </xf>
    <xf numFmtId="0" fontId="4" fillId="3" borderId="64" xfId="22" applyFont="1" applyFill="1" applyBorder="1" applyAlignment="1">
      <alignment horizontal="center" vertical="center" wrapText="1" shrinkToFit="1"/>
      <protection/>
    </xf>
    <xf numFmtId="0" fontId="4" fillId="0" borderId="0" xfId="22" applyFont="1" applyAlignment="1">
      <alignment horizontal="center"/>
      <protection/>
    </xf>
    <xf numFmtId="0" fontId="4" fillId="2" borderId="18" xfId="22" applyFont="1" applyFill="1" applyBorder="1" applyAlignment="1">
      <alignment horizontal="center" vertical="center" wrapText="1" shrinkToFit="1"/>
      <protection/>
    </xf>
    <xf numFmtId="0" fontId="0" fillId="0" borderId="9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4" fillId="2" borderId="18" xfId="22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2" borderId="20" xfId="22" applyFont="1" applyFill="1" applyBorder="1" applyAlignment="1">
      <alignment horizontal="center"/>
      <protection/>
    </xf>
    <xf numFmtId="0" fontId="4" fillId="2" borderId="21" xfId="22" applyFont="1" applyFill="1" applyBorder="1" applyAlignment="1">
      <alignment horizontal="center"/>
      <protection/>
    </xf>
    <xf numFmtId="0" fontId="4" fillId="2" borderId="43" xfId="22" applyFont="1" applyFill="1" applyBorder="1" applyAlignment="1">
      <alignment horizontal="center"/>
      <protection/>
    </xf>
    <xf numFmtId="0" fontId="4" fillId="2" borderId="20" xfId="22" applyFont="1" applyFill="1" applyBorder="1" applyAlignment="1">
      <alignment horizontal="center" vertical="center"/>
      <protection/>
    </xf>
    <xf numFmtId="0" fontId="4" fillId="2" borderId="21" xfId="22" applyFont="1" applyFill="1" applyBorder="1" applyAlignment="1">
      <alignment horizontal="center" vertical="center"/>
      <protection/>
    </xf>
    <xf numFmtId="0" fontId="4" fillId="2" borderId="44" xfId="22" applyFont="1" applyFill="1" applyBorder="1" applyAlignment="1">
      <alignment horizontal="center" vertical="center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58" xfId="0" applyFont="1" applyBorder="1" applyAlignment="1">
      <alignment horizontal="right"/>
    </xf>
    <xf numFmtId="0" fontId="43" fillId="0" borderId="58" xfId="0" applyFont="1" applyBorder="1" applyAlignment="1">
      <alignment horizontal="center" vertical="center" wrapText="1"/>
    </xf>
    <xf numFmtId="3" fontId="43" fillId="0" borderId="58" xfId="0" applyNumberFormat="1" applyFont="1" applyBorder="1" applyAlignment="1">
      <alignment horizontal="center" vertical="center" wrapText="1"/>
    </xf>
    <xf numFmtId="3" fontId="43" fillId="7" borderId="58" xfId="0" applyNumberFormat="1" applyFont="1" applyFill="1" applyBorder="1" applyAlignment="1">
      <alignment horizontal="center" vertical="center" wrapText="1"/>
    </xf>
    <xf numFmtId="3" fontId="43" fillId="7" borderId="65" xfId="0" applyNumberFormat="1" applyFont="1" applyFill="1" applyBorder="1" applyAlignment="1">
      <alignment horizontal="center" vertical="center" wrapText="1"/>
    </xf>
    <xf numFmtId="0" fontId="0" fillId="5" borderId="65" xfId="0" applyFill="1" applyBorder="1" applyAlignment="1">
      <alignment horizontal="center" vertical="center" wrapText="1"/>
    </xf>
    <xf numFmtId="0" fontId="16" fillId="0" borderId="0" xfId="20" applyFont="1" applyAlignment="1">
      <alignment horizontal="center"/>
      <protection/>
    </xf>
    <xf numFmtId="0" fontId="16" fillId="0" borderId="0" xfId="0" applyFont="1" applyFill="1" applyAlignment="1">
      <alignment horizontal="center" vertical="center" wrapText="1"/>
    </xf>
    <xf numFmtId="173" fontId="14" fillId="2" borderId="27" xfId="0" applyNumberFormat="1" applyFont="1" applyFill="1" applyBorder="1" applyAlignment="1">
      <alignment horizontal="center" vertical="center" wrapText="1"/>
    </xf>
    <xf numFmtId="173" fontId="14" fillId="2" borderId="66" xfId="0" applyNumberFormat="1" applyFont="1" applyFill="1" applyBorder="1" applyAlignment="1">
      <alignment horizontal="center" vertical="center" wrapText="1"/>
    </xf>
    <xf numFmtId="0" fontId="14" fillId="2" borderId="66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173" fontId="14" fillId="2" borderId="19" xfId="0" applyNumberFormat="1" applyFont="1" applyFill="1" applyBorder="1" applyAlignment="1">
      <alignment horizontal="center" vertical="center" wrapText="1"/>
    </xf>
    <xf numFmtId="173" fontId="14" fillId="2" borderId="4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3" fontId="14" fillId="4" borderId="4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vertical="center" wrapText="1"/>
    </xf>
    <xf numFmtId="0" fontId="16" fillId="2" borderId="66" xfId="0" applyFont="1" applyFill="1" applyBorder="1" applyAlignment="1">
      <alignment horizontal="center" vertical="center" wrapText="1"/>
    </xf>
    <xf numFmtId="0" fontId="16" fillId="2" borderId="69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4" borderId="4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4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0" fillId="0" borderId="0" xfId="20" applyFont="1" applyBorder="1" applyAlignment="1">
      <alignment horizontal="center"/>
      <protection/>
    </xf>
    <xf numFmtId="0" fontId="5" fillId="2" borderId="45" xfId="22" applyFont="1" applyFill="1" applyBorder="1" applyAlignment="1">
      <alignment horizontal="center"/>
      <protection/>
    </xf>
    <xf numFmtId="0" fontId="5" fillId="2" borderId="70" xfId="22" applyFont="1" applyFill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Hyperlink" xfId="17"/>
    <cellStyle name="ktsgv" xfId="18"/>
    <cellStyle name="Followed Hyperlink" xfId="19"/>
    <cellStyle name="Normál_02B_2008_evi_kltsgv_rendelet" xfId="20"/>
    <cellStyle name="Normál_BEKI991" xfId="21"/>
    <cellStyle name="Normál_táblák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Documents%20and%20Settings\Marg&#243;\Dokumentumok\j&#243;%20k&#246;lts&#233;gvet&#233;si%20anyag\t&#225;bl&#225;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adatok\2003\02ELO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adatok\2005\GAFI%20el&#337;ir&#225;nyz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1.a.mell."/>
      <sheetName val="2.a.sz.mell."/>
      <sheetName val="2.c.sz.mell."/>
      <sheetName val="3.a.sz.mell."/>
      <sheetName val="Átadás"/>
      <sheetName val="8.sz.mell."/>
      <sheetName val="2009. létszám"/>
      <sheetName val="1.sz.függelék"/>
      <sheetName val="2.sz.függelék"/>
      <sheetName val="2.a"/>
      <sheetName val="3.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"/>
      <sheetName val="mük"/>
      <sheetName val="felh"/>
      <sheetName val="1.a.mell."/>
      <sheetName val="2.a."/>
      <sheetName val="bplusz"/>
      <sheetName val="2.a.sz.melléklet"/>
      <sheetName val="2.b.sz.melléklet"/>
      <sheetName val="3.a."/>
      <sheetName val="kplusz"/>
      <sheetName val="3.a.sz.melléklet"/>
      <sheetName val="3.b.mell."/>
      <sheetName val="Hitel nélkül"/>
      <sheetName val="Hitellel"/>
      <sheetName val="3.c.mell."/>
      <sheetName val="3.d.melléklet"/>
      <sheetName val="4.sz.melléklet"/>
      <sheetName val="5.sz.mell."/>
      <sheetName val="6.1.sz.mell"/>
      <sheetName val="6.2.sz.mell."/>
      <sheetName val="8.sz.mell."/>
      <sheetName val="összütem"/>
      <sheetName val="9.sz.mell."/>
      <sheetName val="Hiba"/>
      <sheetName val="60000"/>
      <sheetName val="60000 (2)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FI ei.kiad."/>
      <sheetName val="GAFI ei.bev"/>
      <sheetName val="Bevétel_2"/>
      <sheetName val="Kiadás 2"/>
      <sheetName val="Bevétel"/>
      <sheetName val="Kiadás"/>
      <sheetName val="Eedeti_3"/>
      <sheetName val="Eredeti_2"/>
      <sheetName val="Eredeti_1"/>
      <sheetName val="Eredeti"/>
      <sheetName val="Munka1"/>
      <sheetName val="Munka2"/>
      <sheetName val="Dok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15" sqref="A15"/>
    </sheetView>
  </sheetViews>
  <sheetFormatPr defaultColWidth="9.140625" defaultRowHeight="12.75"/>
  <cols>
    <col min="1" max="1" width="3.57421875" style="0" customWidth="1"/>
    <col min="2" max="2" width="83.7109375" style="0" customWidth="1"/>
  </cols>
  <sheetData>
    <row r="1" spans="1:2" ht="18">
      <c r="A1" s="561" t="s">
        <v>40</v>
      </c>
      <c r="B1" s="561"/>
    </row>
    <row r="2" spans="1:2" ht="15">
      <c r="A2" s="562"/>
      <c r="B2" s="562"/>
    </row>
    <row r="3" spans="1:2" ht="18" customHeight="1">
      <c r="A3" s="443" t="s">
        <v>100</v>
      </c>
      <c r="B3" s="445" t="s">
        <v>41</v>
      </c>
    </row>
    <row r="4" spans="1:2" ht="32.25" customHeight="1">
      <c r="A4" s="444" t="s">
        <v>101</v>
      </c>
      <c r="B4" s="445" t="s">
        <v>42</v>
      </c>
    </row>
    <row r="5" spans="1:2" ht="33" customHeight="1">
      <c r="A5" s="444" t="s">
        <v>102</v>
      </c>
      <c r="B5" s="445" t="s">
        <v>43</v>
      </c>
    </row>
    <row r="6" spans="1:2" ht="16.5" customHeight="1">
      <c r="A6" s="443" t="s">
        <v>103</v>
      </c>
      <c r="B6" s="445" t="s">
        <v>44</v>
      </c>
    </row>
    <row r="7" spans="1:2" ht="17.25" customHeight="1">
      <c r="A7" s="443" t="s">
        <v>146</v>
      </c>
      <c r="B7" s="445" t="s">
        <v>45</v>
      </c>
    </row>
    <row r="8" spans="1:2" ht="17.25" customHeight="1">
      <c r="A8" s="443" t="s">
        <v>104</v>
      </c>
      <c r="B8" s="445" t="s">
        <v>553</v>
      </c>
    </row>
    <row r="9" spans="1:2" ht="18.75" customHeight="1">
      <c r="A9" s="443" t="s">
        <v>105</v>
      </c>
      <c r="B9" s="445" t="s">
        <v>46</v>
      </c>
    </row>
    <row r="10" spans="1:2" ht="30" customHeight="1">
      <c r="A10" s="444" t="s">
        <v>106</v>
      </c>
      <c r="B10" s="445" t="s">
        <v>243</v>
      </c>
    </row>
    <row r="11" spans="1:2" ht="31.5" customHeight="1">
      <c r="A11" s="444" t="s">
        <v>148</v>
      </c>
      <c r="B11" s="445" t="s">
        <v>251</v>
      </c>
    </row>
    <row r="12" spans="1:2" ht="16.5" customHeight="1">
      <c r="A12" s="443" t="s">
        <v>149</v>
      </c>
      <c r="B12" s="445" t="s">
        <v>47</v>
      </c>
    </row>
    <row r="13" spans="1:2" ht="16.5" customHeight="1">
      <c r="A13" s="443" t="s">
        <v>150</v>
      </c>
      <c r="B13" s="445" t="s">
        <v>471</v>
      </c>
    </row>
    <row r="14" spans="1:2" ht="18" customHeight="1">
      <c r="A14" s="443" t="s">
        <v>151</v>
      </c>
      <c r="B14" s="445" t="s">
        <v>48</v>
      </c>
    </row>
    <row r="15" spans="1:2" ht="31.5" customHeight="1">
      <c r="A15" s="444" t="s">
        <v>152</v>
      </c>
      <c r="B15" s="445" t="s">
        <v>49</v>
      </c>
    </row>
    <row r="16" spans="1:2" ht="18.75" customHeight="1">
      <c r="A16" s="443" t="s">
        <v>153</v>
      </c>
      <c r="B16" s="445" t="s">
        <v>50</v>
      </c>
    </row>
    <row r="17" spans="1:2" ht="17.25" customHeight="1">
      <c r="A17" s="443" t="s">
        <v>154</v>
      </c>
      <c r="B17" s="445" t="s">
        <v>51</v>
      </c>
    </row>
  </sheetData>
  <mergeCells count="2">
    <mergeCell ref="A1:B1"/>
    <mergeCell ref="A2:B2"/>
  </mergeCells>
  <printOptions/>
  <pageMargins left="0.75" right="0.74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2" sqref="A1:M16384"/>
    </sheetView>
  </sheetViews>
  <sheetFormatPr defaultColWidth="8.00390625" defaultRowHeight="12.75"/>
  <cols>
    <col min="1" max="1" width="3.57421875" style="92" customWidth="1"/>
    <col min="2" max="2" width="24.140625" style="22" customWidth="1"/>
    <col min="3" max="3" width="6.57421875" style="21" customWidth="1"/>
    <col min="4" max="4" width="10.7109375" style="21" customWidth="1"/>
    <col min="5" max="5" width="7.140625" style="21" customWidth="1"/>
    <col min="6" max="6" width="8.421875" style="21" customWidth="1"/>
    <col min="7" max="7" width="11.421875" style="21" customWidth="1"/>
    <col min="8" max="8" width="7.8515625" style="21" customWidth="1"/>
    <col min="9" max="9" width="8.421875" style="21" customWidth="1"/>
    <col min="10" max="10" width="11.7109375" style="21" customWidth="1"/>
    <col min="11" max="11" width="7.57421875" style="21" customWidth="1"/>
    <col min="12" max="12" width="8.421875" style="21" customWidth="1"/>
    <col min="13" max="13" width="14.140625" style="21" customWidth="1"/>
    <col min="14" max="16384" width="8.00390625" style="3" customWidth="1"/>
  </cols>
  <sheetData>
    <row r="1" spans="1:13" ht="34.5" customHeight="1">
      <c r="A1" s="606" t="s">
        <v>199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</row>
    <row r="2" s="1" customFormat="1" ht="26.25" customHeight="1"/>
    <row r="3" spans="1:13" ht="21" customHeight="1" thickBot="1">
      <c r="A3" s="85"/>
      <c r="B3" s="4"/>
      <c r="C3" s="2"/>
      <c r="D3" s="2"/>
      <c r="E3" s="5"/>
      <c r="F3" s="5"/>
      <c r="G3" s="5"/>
      <c r="H3" s="5"/>
      <c r="I3" s="5"/>
      <c r="J3" s="5"/>
      <c r="K3" s="5"/>
      <c r="L3" s="2"/>
      <c r="M3" s="84" t="s">
        <v>99</v>
      </c>
    </row>
    <row r="4" spans="1:13" s="6" customFormat="1" ht="15.75" customHeight="1">
      <c r="A4" s="86" t="s">
        <v>108</v>
      </c>
      <c r="B4" s="607" t="s">
        <v>200</v>
      </c>
      <c r="C4" s="74"/>
      <c r="D4" s="610" t="s">
        <v>201</v>
      </c>
      <c r="E4" s="75" t="s">
        <v>202</v>
      </c>
      <c r="F4" s="76"/>
      <c r="G4" s="76"/>
      <c r="H4" s="613" t="s">
        <v>203</v>
      </c>
      <c r="I4" s="614"/>
      <c r="J4" s="615"/>
      <c r="K4" s="616" t="s">
        <v>113</v>
      </c>
      <c r="L4" s="617"/>
      <c r="M4" s="618"/>
    </row>
    <row r="5" spans="1:13" s="6" customFormat="1" ht="12.75">
      <c r="A5" s="87" t="s">
        <v>116</v>
      </c>
      <c r="B5" s="608"/>
      <c r="C5" s="77" t="s">
        <v>204</v>
      </c>
      <c r="D5" s="611"/>
      <c r="E5" s="78" t="s">
        <v>118</v>
      </c>
      <c r="F5" s="619" t="s">
        <v>205</v>
      </c>
      <c r="G5" s="597"/>
      <c r="H5" s="77" t="s">
        <v>118</v>
      </c>
      <c r="I5" s="619" t="s">
        <v>119</v>
      </c>
      <c r="J5" s="597"/>
      <c r="K5" s="79" t="s">
        <v>118</v>
      </c>
      <c r="L5" s="619" t="s">
        <v>119</v>
      </c>
      <c r="M5" s="620"/>
    </row>
    <row r="6" spans="1:13" s="6" customFormat="1" ht="17.25" customHeight="1" thickBot="1">
      <c r="A6" s="88"/>
      <c r="B6" s="609"/>
      <c r="C6" s="80" t="s">
        <v>206</v>
      </c>
      <c r="D6" s="612"/>
      <c r="E6" s="81" t="s">
        <v>120</v>
      </c>
      <c r="F6" s="81" t="s">
        <v>207</v>
      </c>
      <c r="G6" s="81" t="s">
        <v>208</v>
      </c>
      <c r="H6" s="81" t="s">
        <v>120</v>
      </c>
      <c r="I6" s="81" t="s">
        <v>207</v>
      </c>
      <c r="J6" s="81" t="s">
        <v>208</v>
      </c>
      <c r="K6" s="81" t="s">
        <v>120</v>
      </c>
      <c r="L6" s="81" t="s">
        <v>207</v>
      </c>
      <c r="M6" s="165" t="s">
        <v>208</v>
      </c>
    </row>
    <row r="7" spans="1:13" ht="20.25" customHeight="1" hidden="1">
      <c r="A7" s="89" t="s">
        <v>88</v>
      </c>
      <c r="B7" s="7" t="s">
        <v>121</v>
      </c>
      <c r="C7" s="83"/>
      <c r="D7" s="8"/>
      <c r="E7" s="8"/>
      <c r="F7" s="81" t="s">
        <v>207</v>
      </c>
      <c r="G7" s="81" t="s">
        <v>208</v>
      </c>
      <c r="H7" s="8"/>
      <c r="I7" s="9"/>
      <c r="J7" s="9"/>
      <c r="K7" s="10"/>
      <c r="L7" s="10"/>
      <c r="M7" s="10"/>
    </row>
    <row r="8" spans="1:13" s="11" customFormat="1" ht="27" customHeight="1" hidden="1">
      <c r="A8" s="126" t="s">
        <v>100</v>
      </c>
      <c r="B8" s="93" t="s">
        <v>87</v>
      </c>
      <c r="C8" s="94"/>
      <c r="D8" s="17"/>
      <c r="E8" s="17"/>
      <c r="F8" s="18"/>
      <c r="G8" s="18"/>
      <c r="H8" s="17"/>
      <c r="I8" s="19"/>
      <c r="J8" s="19"/>
      <c r="K8" s="102"/>
      <c r="L8" s="102"/>
      <c r="M8" s="102"/>
    </row>
    <row r="9" spans="1:13" ht="25.5" customHeight="1" hidden="1">
      <c r="A9" s="127"/>
      <c r="B9" s="95" t="s">
        <v>122</v>
      </c>
      <c r="C9" s="18">
        <v>2009</v>
      </c>
      <c r="D9" s="13"/>
      <c r="E9" s="14">
        <v>1515</v>
      </c>
      <c r="F9" s="12"/>
      <c r="G9" s="12"/>
      <c r="H9" s="14"/>
      <c r="I9" s="15"/>
      <c r="J9" s="15"/>
      <c r="K9" s="103">
        <v>1515</v>
      </c>
      <c r="L9" s="103"/>
      <c r="M9" s="103"/>
    </row>
    <row r="10" spans="1:13" s="11" customFormat="1" ht="15" customHeight="1" hidden="1">
      <c r="A10" s="126" t="s">
        <v>101</v>
      </c>
      <c r="B10" s="93" t="s">
        <v>123</v>
      </c>
      <c r="C10" s="94"/>
      <c r="D10" s="96"/>
      <c r="E10" s="17"/>
      <c r="F10" s="18"/>
      <c r="G10" s="18"/>
      <c r="H10" s="17"/>
      <c r="I10" s="19"/>
      <c r="J10" s="19"/>
      <c r="K10" s="102"/>
      <c r="L10" s="102"/>
      <c r="M10" s="102"/>
    </row>
    <row r="11" spans="1:13" s="11" customFormat="1" ht="17.25" customHeight="1" hidden="1">
      <c r="A11" s="128"/>
      <c r="B11" s="98" t="s">
        <v>124</v>
      </c>
      <c r="C11" s="99">
        <v>2009</v>
      </c>
      <c r="D11" s="16"/>
      <c r="E11" s="14">
        <v>15000</v>
      </c>
      <c r="F11" s="18"/>
      <c r="G11" s="18"/>
      <c r="H11" s="17"/>
      <c r="I11" s="19"/>
      <c r="J11" s="19"/>
      <c r="K11" s="103">
        <v>15000</v>
      </c>
      <c r="L11" s="102"/>
      <c r="M11" s="102"/>
    </row>
    <row r="12" spans="1:13" ht="16.5" customHeight="1" hidden="1">
      <c r="A12" s="90"/>
      <c r="B12" s="602" t="s">
        <v>125</v>
      </c>
      <c r="C12" s="100"/>
      <c r="D12" s="97">
        <f>SUM(D7:D11)</f>
        <v>0</v>
      </c>
      <c r="E12" s="82">
        <f>SUM(E8:E11)</f>
        <v>16515</v>
      </c>
      <c r="F12" s="82">
        <v>0</v>
      </c>
      <c r="G12" s="82"/>
      <c r="H12" s="82">
        <v>0</v>
      </c>
      <c r="I12" s="82">
        <v>0</v>
      </c>
      <c r="J12" s="82"/>
      <c r="K12" s="82">
        <f>SUM(K9:K11)</f>
        <v>16515</v>
      </c>
      <c r="L12" s="82">
        <v>0</v>
      </c>
      <c r="M12" s="82"/>
    </row>
    <row r="13" spans="1:13" ht="16.5" customHeight="1" hidden="1">
      <c r="A13" s="91"/>
      <c r="B13" s="603"/>
      <c r="C13" s="101"/>
      <c r="D13" s="164" t="e">
        <f>D12+#REF!</f>
        <v>#REF!</v>
      </c>
      <c r="E13" s="289">
        <f>E12+F12</f>
        <v>16515</v>
      </c>
      <c r="F13" s="289"/>
      <c r="G13" s="289"/>
      <c r="H13" s="289">
        <f>H12+I12</f>
        <v>0</v>
      </c>
      <c r="I13" s="289"/>
      <c r="J13" s="289"/>
      <c r="K13" s="289">
        <f>K12+L12</f>
        <v>16515</v>
      </c>
      <c r="L13" s="289"/>
      <c r="M13" s="289"/>
    </row>
    <row r="14" spans="1:13" s="20" customFormat="1" ht="46.5" customHeight="1" thickBot="1">
      <c r="A14" s="283" t="s">
        <v>100</v>
      </c>
      <c r="B14" s="286" t="s">
        <v>225</v>
      </c>
      <c r="C14" s="240">
        <v>2008</v>
      </c>
      <c r="D14" s="241">
        <v>21000</v>
      </c>
      <c r="E14" s="290">
        <v>1050</v>
      </c>
      <c r="F14" s="290"/>
      <c r="G14" s="290"/>
      <c r="H14" s="290"/>
      <c r="I14" s="290"/>
      <c r="J14" s="290"/>
      <c r="K14" s="290"/>
      <c r="L14" s="290"/>
      <c r="M14" s="290"/>
    </row>
    <row r="15" spans="1:13" s="20" customFormat="1" ht="46.5" customHeight="1" thickBot="1">
      <c r="A15" s="283" t="s">
        <v>101</v>
      </c>
      <c r="B15" s="287" t="s">
        <v>226</v>
      </c>
      <c r="C15" s="240">
        <v>2008</v>
      </c>
      <c r="D15" s="241">
        <v>195600</v>
      </c>
      <c r="E15" s="290">
        <v>95600</v>
      </c>
      <c r="F15" s="290"/>
      <c r="G15" s="290"/>
      <c r="H15" s="290"/>
      <c r="I15" s="290"/>
      <c r="J15" s="290"/>
      <c r="K15" s="290"/>
      <c r="L15" s="290"/>
      <c r="M15" s="290"/>
    </row>
    <row r="16" spans="1:13" s="20" customFormat="1" ht="46.5" customHeight="1" thickBot="1">
      <c r="A16" s="283" t="s">
        <v>102</v>
      </c>
      <c r="B16" s="288" t="s">
        <v>227</v>
      </c>
      <c r="C16" s="240">
        <v>2008</v>
      </c>
      <c r="D16" s="247">
        <v>63249</v>
      </c>
      <c r="E16" s="290">
        <v>9487</v>
      </c>
      <c r="F16" s="290"/>
      <c r="G16" s="290"/>
      <c r="H16" s="290"/>
      <c r="I16" s="290"/>
      <c r="J16" s="290"/>
      <c r="K16" s="290"/>
      <c r="L16" s="290"/>
      <c r="M16" s="290"/>
    </row>
    <row r="17" spans="1:13" s="20" customFormat="1" ht="46.5" customHeight="1" thickBot="1">
      <c r="A17" s="283" t="s">
        <v>103</v>
      </c>
      <c r="B17" s="286" t="s">
        <v>228</v>
      </c>
      <c r="C17" s="240">
        <v>2008</v>
      </c>
      <c r="D17" s="241">
        <v>56107</v>
      </c>
      <c r="E17" s="290">
        <v>7078</v>
      </c>
      <c r="F17" s="290"/>
      <c r="G17" s="290"/>
      <c r="H17" s="290"/>
      <c r="I17" s="290"/>
      <c r="J17" s="290"/>
      <c r="K17" s="290"/>
      <c r="L17" s="290"/>
      <c r="M17" s="290"/>
    </row>
    <row r="18" spans="1:13" s="20" customFormat="1" ht="46.5" customHeight="1">
      <c r="A18" s="283" t="s">
        <v>146</v>
      </c>
      <c r="B18" s="286" t="s">
        <v>86</v>
      </c>
      <c r="C18" s="240">
        <v>2008</v>
      </c>
      <c r="D18" s="241">
        <v>1052000</v>
      </c>
      <c r="E18" s="290"/>
      <c r="F18" s="290"/>
      <c r="G18" s="290"/>
      <c r="H18" s="290"/>
      <c r="I18" s="290"/>
      <c r="J18" s="290"/>
      <c r="K18" s="290"/>
      <c r="L18" s="290"/>
      <c r="M18" s="290"/>
    </row>
    <row r="19" spans="1:13" s="11" customFormat="1" ht="17.25" customHeight="1" thickBot="1">
      <c r="A19" s="166"/>
      <c r="B19" s="604" t="s">
        <v>107</v>
      </c>
      <c r="C19" s="605"/>
      <c r="D19" s="167">
        <f>SUM(D14:D18)</f>
        <v>1387956</v>
      </c>
      <c r="E19" s="167">
        <f aca="true" t="shared" si="0" ref="E19:M19">SUM(E14:E18)</f>
        <v>113215</v>
      </c>
      <c r="F19" s="167">
        <f t="shared" si="0"/>
        <v>0</v>
      </c>
      <c r="G19" s="167">
        <f t="shared" si="0"/>
        <v>0</v>
      </c>
      <c r="H19" s="167">
        <f t="shared" si="0"/>
        <v>0</v>
      </c>
      <c r="I19" s="167">
        <f t="shared" si="0"/>
        <v>0</v>
      </c>
      <c r="J19" s="167">
        <f t="shared" si="0"/>
        <v>0</v>
      </c>
      <c r="K19" s="167">
        <f t="shared" si="0"/>
        <v>0</v>
      </c>
      <c r="L19" s="167">
        <f t="shared" si="0"/>
        <v>0</v>
      </c>
      <c r="M19" s="167">
        <f t="shared" si="0"/>
        <v>0</v>
      </c>
    </row>
    <row r="21" ht="12.75">
      <c r="G21" s="448"/>
    </row>
  </sheetData>
  <mergeCells count="10">
    <mergeCell ref="B12:B13"/>
    <mergeCell ref="B19:C19"/>
    <mergeCell ref="A1:M1"/>
    <mergeCell ref="B4:B6"/>
    <mergeCell ref="D4:D6"/>
    <mergeCell ref="H4:J4"/>
    <mergeCell ref="K4:M4"/>
    <mergeCell ref="F5:G5"/>
    <mergeCell ref="I5:J5"/>
    <mergeCell ref="L5:M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&amp;L&amp;"Arial,Félkövér dőlt"&amp;11Vámospércs Város Önkormányzata&amp;R&amp;"Arial,Félkövér dőlt"&amp;11 5.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4"/>
  <sheetViews>
    <sheetView workbookViewId="0" topLeftCell="B1">
      <selection activeCell="G19" sqref="G19"/>
    </sheetView>
  </sheetViews>
  <sheetFormatPr defaultColWidth="9.140625" defaultRowHeight="12.75"/>
  <cols>
    <col min="1" max="1" width="9.140625" style="58" customWidth="1"/>
    <col min="2" max="2" width="42.28125" style="58" customWidth="1"/>
    <col min="3" max="3" width="11.00390625" style="316" customWidth="1"/>
    <col min="4" max="4" width="14.140625" style="316" customWidth="1"/>
    <col min="5" max="5" width="10.00390625" style="428" customWidth="1"/>
    <col min="6" max="6" width="9.140625" style="429" customWidth="1"/>
    <col min="7" max="7" width="15.140625" style="429" customWidth="1"/>
    <col min="8" max="9" width="10.00390625" style="428" customWidth="1"/>
  </cols>
  <sheetData>
    <row r="1" spans="1:9" ht="12.75" customHeight="1">
      <c r="A1" s="621" t="s">
        <v>553</v>
      </c>
      <c r="B1" s="622"/>
      <c r="C1" s="622"/>
      <c r="D1" s="622"/>
      <c r="E1" s="622"/>
      <c r="F1" s="622"/>
      <c r="G1" s="622"/>
      <c r="H1" s="622"/>
      <c r="I1" s="622"/>
    </row>
    <row r="2" spans="1:9" ht="12.75">
      <c r="A2" s="622"/>
      <c r="B2" s="622"/>
      <c r="C2" s="622"/>
      <c r="D2" s="622"/>
      <c r="E2" s="622"/>
      <c r="F2" s="622"/>
      <c r="G2" s="622"/>
      <c r="H2" s="622"/>
      <c r="I2" s="622"/>
    </row>
    <row r="3" spans="1:9" ht="12.75">
      <c r="A3" s="372"/>
      <c r="B3" s="623"/>
      <c r="C3" s="623"/>
      <c r="D3" s="623"/>
      <c r="E3" s="623"/>
      <c r="F3" s="623"/>
      <c r="G3" s="623"/>
      <c r="H3" s="623"/>
      <c r="I3" s="404"/>
    </row>
    <row r="4" spans="1:9" ht="12.75" customHeight="1">
      <c r="A4" s="624" t="s">
        <v>554</v>
      </c>
      <c r="B4" s="624" t="s">
        <v>159</v>
      </c>
      <c r="C4" s="625" t="s">
        <v>555</v>
      </c>
      <c r="D4" s="625"/>
      <c r="E4" s="625"/>
      <c r="F4" s="626" t="s">
        <v>556</v>
      </c>
      <c r="G4" s="626"/>
      <c r="H4" s="626"/>
      <c r="I4" s="627" t="s">
        <v>557</v>
      </c>
    </row>
    <row r="5" spans="1:9" ht="13.5">
      <c r="A5" s="624"/>
      <c r="B5" s="624"/>
      <c r="C5" s="373" t="s">
        <v>558</v>
      </c>
      <c r="D5" s="373" t="s">
        <v>559</v>
      </c>
      <c r="E5" s="405" t="s">
        <v>560</v>
      </c>
      <c r="F5" s="406" t="s">
        <v>558</v>
      </c>
      <c r="G5" s="406" t="s">
        <v>559</v>
      </c>
      <c r="H5" s="405" t="s">
        <v>560</v>
      </c>
      <c r="I5" s="628"/>
    </row>
    <row r="6" spans="1:9" ht="14.25">
      <c r="A6" s="58" t="s">
        <v>561</v>
      </c>
      <c r="B6" s="374" t="s">
        <v>562</v>
      </c>
      <c r="C6" s="375">
        <v>5616</v>
      </c>
      <c r="D6" s="376">
        <v>1430</v>
      </c>
      <c r="E6" s="407">
        <f>+D6*C6/1000</f>
        <v>8030.88</v>
      </c>
      <c r="F6" s="408">
        <v>5582</v>
      </c>
      <c r="G6" s="409">
        <v>1057</v>
      </c>
      <c r="H6" s="407">
        <f>+G6*F6/1000</f>
        <v>5900.174</v>
      </c>
      <c r="I6" s="410">
        <f aca="true" t="shared" si="0" ref="I6:I18">H6-E6</f>
        <v>-2130.706</v>
      </c>
    </row>
    <row r="7" spans="1:9" ht="14.25">
      <c r="A7" s="58" t="s">
        <v>563</v>
      </c>
      <c r="B7" s="374" t="s">
        <v>564</v>
      </c>
      <c r="C7" s="375">
        <v>5616</v>
      </c>
      <c r="D7" s="376">
        <v>515</v>
      </c>
      <c r="E7" s="407">
        <f>+D7*C7/1000</f>
        <v>2892.24</v>
      </c>
      <c r="F7" s="408">
        <v>5582</v>
      </c>
      <c r="G7" s="409">
        <v>515</v>
      </c>
      <c r="H7" s="407">
        <f>+G7*F7/1000</f>
        <v>2874.73</v>
      </c>
      <c r="I7" s="410">
        <f t="shared" si="0"/>
        <v>-17.509999999999764</v>
      </c>
    </row>
    <row r="8" spans="1:9" ht="14.25">
      <c r="A8" s="58" t="s">
        <v>565</v>
      </c>
      <c r="B8" s="374" t="s">
        <v>566</v>
      </c>
      <c r="C8" s="375"/>
      <c r="D8" s="376"/>
      <c r="E8" s="407"/>
      <c r="F8" s="408">
        <v>5582</v>
      </c>
      <c r="G8" s="409">
        <v>500</v>
      </c>
      <c r="H8" s="407">
        <f>+G8*F8/1000</f>
        <v>2791</v>
      </c>
      <c r="I8" s="410">
        <f t="shared" si="0"/>
        <v>2791</v>
      </c>
    </row>
    <row r="9" spans="1:9" ht="14.25">
      <c r="A9" s="58" t="s">
        <v>101</v>
      </c>
      <c r="B9" s="374" t="s">
        <v>567</v>
      </c>
      <c r="C9" s="375"/>
      <c r="D9" s="375"/>
      <c r="E9" s="411">
        <f>SUM(E10:E14)</f>
        <v>16724</v>
      </c>
      <c r="F9" s="408"/>
      <c r="G9" s="408"/>
      <c r="H9" s="411">
        <f>SUM(H10:H14)</f>
        <v>18682.182</v>
      </c>
      <c r="I9" s="410">
        <f t="shared" si="0"/>
        <v>1958.1820000000007</v>
      </c>
    </row>
    <row r="10" spans="1:9" ht="14.25">
      <c r="A10" s="58" t="s">
        <v>568</v>
      </c>
      <c r="B10" s="374" t="s">
        <v>569</v>
      </c>
      <c r="C10" s="375">
        <v>1</v>
      </c>
      <c r="D10" s="376">
        <v>3300000</v>
      </c>
      <c r="E10" s="407">
        <v>3300</v>
      </c>
      <c r="F10" s="408">
        <v>1</v>
      </c>
      <c r="G10" s="409">
        <v>3300000</v>
      </c>
      <c r="H10" s="407">
        <f aca="true" t="shared" si="1" ref="H10:H15">+G10*F10/1000</f>
        <v>3300</v>
      </c>
      <c r="I10" s="410">
        <f t="shared" si="0"/>
        <v>0</v>
      </c>
    </row>
    <row r="11" spans="1:9" ht="14.25">
      <c r="A11" s="58" t="s">
        <v>570</v>
      </c>
      <c r="B11" s="374" t="s">
        <v>571</v>
      </c>
      <c r="C11" s="375">
        <v>15845</v>
      </c>
      <c r="D11" s="376">
        <v>513</v>
      </c>
      <c r="E11" s="407">
        <v>8128</v>
      </c>
      <c r="F11" s="408">
        <v>17580</v>
      </c>
      <c r="G11" s="409">
        <v>324</v>
      </c>
      <c r="H11" s="407">
        <f t="shared" si="1"/>
        <v>5695.92</v>
      </c>
      <c r="I11" s="410">
        <f t="shared" si="0"/>
        <v>-2432.08</v>
      </c>
    </row>
    <row r="12" spans="1:9" ht="14.25">
      <c r="A12" s="58" t="s">
        <v>572</v>
      </c>
      <c r="B12" s="374" t="s">
        <v>573</v>
      </c>
      <c r="C12" s="375">
        <v>18913</v>
      </c>
      <c r="D12" s="376">
        <v>280</v>
      </c>
      <c r="E12" s="407">
        <v>5296</v>
      </c>
      <c r="F12" s="408">
        <v>18795</v>
      </c>
      <c r="G12" s="409">
        <v>270</v>
      </c>
      <c r="H12" s="407">
        <f t="shared" si="1"/>
        <v>5074.65</v>
      </c>
      <c r="I12" s="410">
        <f t="shared" si="0"/>
        <v>-221.35000000000036</v>
      </c>
    </row>
    <row r="13" spans="1:9" ht="14.25">
      <c r="A13" s="58" t="s">
        <v>574</v>
      </c>
      <c r="B13" s="374" t="s">
        <v>575</v>
      </c>
      <c r="C13" s="375"/>
      <c r="D13" s="376"/>
      <c r="E13" s="407"/>
      <c r="F13" s="408">
        <v>18795</v>
      </c>
      <c r="G13" s="409">
        <v>70</v>
      </c>
      <c r="H13" s="407">
        <f t="shared" si="1"/>
        <v>1315.65</v>
      </c>
      <c r="I13" s="410">
        <f t="shared" si="0"/>
        <v>1315.65</v>
      </c>
    </row>
    <row r="14" spans="1:9" ht="14.25">
      <c r="A14" s="58" t="s">
        <v>576</v>
      </c>
      <c r="B14" s="374" t="s">
        <v>577</v>
      </c>
      <c r="C14" s="375"/>
      <c r="D14" s="376"/>
      <c r="E14" s="407"/>
      <c r="F14" s="408">
        <v>426</v>
      </c>
      <c r="G14" s="409">
        <v>7737</v>
      </c>
      <c r="H14" s="407">
        <f t="shared" si="1"/>
        <v>3295.962</v>
      </c>
      <c r="I14" s="410">
        <f t="shared" si="0"/>
        <v>3295.962</v>
      </c>
    </row>
    <row r="15" spans="1:9" ht="14.25">
      <c r="A15" s="58" t="s">
        <v>146</v>
      </c>
      <c r="B15" s="374" t="s">
        <v>578</v>
      </c>
      <c r="C15" s="375">
        <v>440</v>
      </c>
      <c r="D15" s="376">
        <v>3800</v>
      </c>
      <c r="E15" s="407">
        <f>+D15*C15/1000</f>
        <v>1672</v>
      </c>
      <c r="F15" s="408">
        <v>363</v>
      </c>
      <c r="G15" s="409">
        <v>3088</v>
      </c>
      <c r="H15" s="407">
        <f t="shared" si="1"/>
        <v>1120.944</v>
      </c>
      <c r="I15" s="410">
        <f t="shared" si="0"/>
        <v>-551.056</v>
      </c>
    </row>
    <row r="16" spans="1:9" ht="14.25">
      <c r="A16" s="58" t="s">
        <v>105</v>
      </c>
      <c r="B16" s="374" t="s">
        <v>579</v>
      </c>
      <c r="C16" s="375" t="s">
        <v>355</v>
      </c>
      <c r="D16" s="376" t="s">
        <v>355</v>
      </c>
      <c r="E16" s="407" t="s">
        <v>355</v>
      </c>
      <c r="F16" s="408" t="s">
        <v>355</v>
      </c>
      <c r="G16" s="409" t="s">
        <v>355</v>
      </c>
      <c r="H16" s="407" t="s">
        <v>355</v>
      </c>
      <c r="I16" s="410"/>
    </row>
    <row r="17" spans="1:9" ht="14.25">
      <c r="A17" s="58" t="s">
        <v>580</v>
      </c>
      <c r="B17" s="374" t="s">
        <v>581</v>
      </c>
      <c r="C17" s="375">
        <v>5616</v>
      </c>
      <c r="D17" s="376">
        <v>2510</v>
      </c>
      <c r="E17" s="407">
        <f>+C17*D17/1000</f>
        <v>14096.16</v>
      </c>
      <c r="F17" s="408">
        <v>5582</v>
      </c>
      <c r="G17" s="409">
        <v>2510</v>
      </c>
      <c r="H17" s="407">
        <f>+F17*G17/1000</f>
        <v>14010.82</v>
      </c>
      <c r="I17" s="410">
        <f t="shared" si="0"/>
        <v>-85.34000000000015</v>
      </c>
    </row>
    <row r="18" spans="1:9" ht="14.25">
      <c r="A18" s="58" t="s">
        <v>149</v>
      </c>
      <c r="B18" s="374" t="s">
        <v>582</v>
      </c>
      <c r="C18" s="375"/>
      <c r="D18" s="375"/>
      <c r="E18" s="407">
        <v>63466</v>
      </c>
      <c r="F18" s="408"/>
      <c r="G18" s="408"/>
      <c r="H18" s="407">
        <v>62736</v>
      </c>
      <c r="I18" s="410">
        <f t="shared" si="0"/>
        <v>-730</v>
      </c>
    </row>
    <row r="19" spans="2:9" ht="14.25">
      <c r="B19" s="374" t="s">
        <v>583</v>
      </c>
      <c r="C19" s="375"/>
      <c r="D19" s="375"/>
      <c r="E19" s="407" t="s">
        <v>355</v>
      </c>
      <c r="F19" s="408"/>
      <c r="G19" s="408"/>
      <c r="H19" s="407" t="s">
        <v>355</v>
      </c>
      <c r="I19" s="410"/>
    </row>
    <row r="20" spans="1:9" ht="14.25">
      <c r="A20" s="377"/>
      <c r="B20" s="378" t="s">
        <v>584</v>
      </c>
      <c r="C20" s="379"/>
      <c r="D20" s="379"/>
      <c r="E20" s="410">
        <f>SUM(E6,E7,E9,E8,E15,E17,E18)</f>
        <v>106881.28</v>
      </c>
      <c r="F20" s="412"/>
      <c r="G20" s="412"/>
      <c r="H20" s="410">
        <f>SUM(H6,H7,H9,H8,H15,H17,H18)</f>
        <v>108115.85</v>
      </c>
      <c r="I20" s="410">
        <f>H20-E20</f>
        <v>1234.570000000007</v>
      </c>
    </row>
    <row r="21" spans="1:9" ht="14.25">
      <c r="A21" s="58" t="s">
        <v>585</v>
      </c>
      <c r="B21" s="374" t="s">
        <v>586</v>
      </c>
      <c r="C21" s="375">
        <v>12953</v>
      </c>
      <c r="D21" s="380" t="s">
        <v>587</v>
      </c>
      <c r="E21" s="407">
        <f>C21/5000*3950000/2/1000</f>
        <v>5116.435</v>
      </c>
      <c r="F21" s="408">
        <f>SUM(F22:F25)</f>
        <v>12852</v>
      </c>
      <c r="G21" s="413" t="s">
        <v>587</v>
      </c>
      <c r="H21" s="407">
        <f>F21/5000*3950000/2/1000</f>
        <v>5076.54</v>
      </c>
      <c r="I21" s="410">
        <f>H21-E21</f>
        <v>-39.89500000000044</v>
      </c>
    </row>
    <row r="22" spans="2:9" ht="14.25">
      <c r="B22" s="374" t="s">
        <v>588</v>
      </c>
      <c r="C22" s="375">
        <v>5616</v>
      </c>
      <c r="D22" s="380" t="s">
        <v>587</v>
      </c>
      <c r="E22" s="407">
        <f aca="true" t="shared" si="2" ref="E22:E30">C22/5000*3950000/2/1000</f>
        <v>2218.32</v>
      </c>
      <c r="F22" s="408">
        <v>5582</v>
      </c>
      <c r="G22" s="413" t="s">
        <v>587</v>
      </c>
      <c r="H22" s="407">
        <f aca="true" t="shared" si="3" ref="H22:H30">F22/5000*3950000/2/1000</f>
        <v>2204.89</v>
      </c>
      <c r="I22" s="410">
        <f aca="true" t="shared" si="4" ref="I22:I85">H22-E22</f>
        <v>-13.430000000000291</v>
      </c>
    </row>
    <row r="23" spans="2:9" ht="14.25">
      <c r="B23" s="374" t="s">
        <v>589</v>
      </c>
      <c r="C23" s="375">
        <v>1087</v>
      </c>
      <c r="D23" s="380" t="s">
        <v>587</v>
      </c>
      <c r="E23" s="407">
        <f t="shared" si="2"/>
        <v>429.365</v>
      </c>
      <c r="F23" s="408">
        <v>1089</v>
      </c>
      <c r="G23" s="413" t="s">
        <v>587</v>
      </c>
      <c r="H23" s="407">
        <f t="shared" si="3"/>
        <v>430.155</v>
      </c>
      <c r="I23" s="410">
        <f t="shared" si="4"/>
        <v>0.7899999999999636</v>
      </c>
    </row>
    <row r="24" spans="2:9" ht="14.25">
      <c r="B24" s="374" t="s">
        <v>590</v>
      </c>
      <c r="C24" s="375">
        <v>2132</v>
      </c>
      <c r="D24" s="380" t="s">
        <v>587</v>
      </c>
      <c r="E24" s="407">
        <f t="shared" si="2"/>
        <v>842.14</v>
      </c>
      <c r="F24" s="408">
        <v>2098</v>
      </c>
      <c r="G24" s="413" t="s">
        <v>587</v>
      </c>
      <c r="H24" s="407">
        <f t="shared" si="3"/>
        <v>828.71</v>
      </c>
      <c r="I24" s="410">
        <f t="shared" si="4"/>
        <v>-13.42999999999995</v>
      </c>
    </row>
    <row r="25" spans="2:9" ht="14.25">
      <c r="B25" s="374" t="s">
        <v>591</v>
      </c>
      <c r="C25" s="375">
        <v>4118</v>
      </c>
      <c r="D25" s="380" t="s">
        <v>587</v>
      </c>
      <c r="E25" s="407">
        <f t="shared" si="2"/>
        <v>1626.61</v>
      </c>
      <c r="F25" s="408">
        <v>4083</v>
      </c>
      <c r="G25" s="413" t="s">
        <v>587</v>
      </c>
      <c r="H25" s="407">
        <f t="shared" si="3"/>
        <v>1612.785</v>
      </c>
      <c r="I25" s="410">
        <f t="shared" si="4"/>
        <v>-13.824999999999818</v>
      </c>
    </row>
    <row r="26" spans="1:9" ht="14.25">
      <c r="A26" s="58" t="s">
        <v>592</v>
      </c>
      <c r="B26" s="374" t="s">
        <v>593</v>
      </c>
      <c r="C26" s="375">
        <v>12953</v>
      </c>
      <c r="D26" s="380" t="s">
        <v>587</v>
      </c>
      <c r="E26" s="407">
        <f t="shared" si="2"/>
        <v>5116.435</v>
      </c>
      <c r="F26" s="408">
        <f>SUM(F27:F30)</f>
        <v>12852</v>
      </c>
      <c r="G26" s="413" t="s">
        <v>587</v>
      </c>
      <c r="H26" s="407">
        <f>SUM(H27:H30)</f>
        <v>5076.54</v>
      </c>
      <c r="I26" s="410">
        <f t="shared" si="4"/>
        <v>-39.89500000000044</v>
      </c>
    </row>
    <row r="27" spans="2:9" ht="14.25">
      <c r="B27" s="374" t="s">
        <v>588</v>
      </c>
      <c r="C27" s="375">
        <v>5616</v>
      </c>
      <c r="D27" s="380" t="s">
        <v>587</v>
      </c>
      <c r="E27" s="407">
        <f t="shared" si="2"/>
        <v>2218.32</v>
      </c>
      <c r="F27" s="408">
        <v>5582</v>
      </c>
      <c r="G27" s="413" t="s">
        <v>587</v>
      </c>
      <c r="H27" s="407">
        <f t="shared" si="3"/>
        <v>2204.89</v>
      </c>
      <c r="I27" s="410">
        <f t="shared" si="4"/>
        <v>-13.430000000000291</v>
      </c>
    </row>
    <row r="28" spans="2:9" ht="14.25">
      <c r="B28" s="374" t="s">
        <v>589</v>
      </c>
      <c r="C28" s="375">
        <v>1087</v>
      </c>
      <c r="D28" s="380" t="s">
        <v>587</v>
      </c>
      <c r="E28" s="407">
        <f t="shared" si="2"/>
        <v>429.365</v>
      </c>
      <c r="F28" s="408">
        <v>1089</v>
      </c>
      <c r="G28" s="413" t="s">
        <v>587</v>
      </c>
      <c r="H28" s="407">
        <f t="shared" si="3"/>
        <v>430.155</v>
      </c>
      <c r="I28" s="410">
        <f t="shared" si="4"/>
        <v>0.7899999999999636</v>
      </c>
    </row>
    <row r="29" spans="2:9" ht="14.25">
      <c r="B29" s="374" t="s">
        <v>590</v>
      </c>
      <c r="C29" s="375">
        <v>2132</v>
      </c>
      <c r="D29" s="380" t="s">
        <v>587</v>
      </c>
      <c r="E29" s="407">
        <f t="shared" si="2"/>
        <v>842.14</v>
      </c>
      <c r="F29" s="408">
        <v>2098</v>
      </c>
      <c r="G29" s="413" t="s">
        <v>587</v>
      </c>
      <c r="H29" s="407">
        <f t="shared" si="3"/>
        <v>828.71</v>
      </c>
      <c r="I29" s="410">
        <f t="shared" si="4"/>
        <v>-13.42999999999995</v>
      </c>
    </row>
    <row r="30" spans="2:9" ht="14.25">
      <c r="B30" s="374" t="s">
        <v>591</v>
      </c>
      <c r="C30" s="375">
        <v>4118</v>
      </c>
      <c r="D30" s="380" t="s">
        <v>587</v>
      </c>
      <c r="E30" s="407">
        <f t="shared" si="2"/>
        <v>1626.61</v>
      </c>
      <c r="F30" s="408">
        <v>4083</v>
      </c>
      <c r="G30" s="413" t="s">
        <v>587</v>
      </c>
      <c r="H30" s="407">
        <f t="shared" si="3"/>
        <v>1612.785</v>
      </c>
      <c r="I30" s="410">
        <f t="shared" si="4"/>
        <v>-13.824999999999818</v>
      </c>
    </row>
    <row r="31" spans="1:9" ht="14.25">
      <c r="A31" s="381"/>
      <c r="B31" s="382" t="s">
        <v>594</v>
      </c>
      <c r="C31" s="373">
        <f>SUM(C21,C26)</f>
        <v>25906</v>
      </c>
      <c r="D31" s="373"/>
      <c r="E31" s="414">
        <f>SUM(E21,E26)</f>
        <v>10232.87</v>
      </c>
      <c r="F31" s="406">
        <f>SUM(F21,F26)</f>
        <v>25704</v>
      </c>
      <c r="G31" s="415"/>
      <c r="H31" s="414">
        <f>SUM(H21,H26)</f>
        <v>10153.08</v>
      </c>
      <c r="I31" s="410">
        <f t="shared" si="4"/>
        <v>-79.79000000000087</v>
      </c>
    </row>
    <row r="32" spans="1:9" ht="14.25">
      <c r="A32" s="381" t="s">
        <v>595</v>
      </c>
      <c r="B32" s="382" t="s">
        <v>596</v>
      </c>
      <c r="C32" s="373">
        <v>10</v>
      </c>
      <c r="D32" s="373">
        <v>9400</v>
      </c>
      <c r="E32" s="416">
        <f>+C32*D32/1000</f>
        <v>94</v>
      </c>
      <c r="F32" s="406">
        <v>10</v>
      </c>
      <c r="G32" s="406">
        <v>9400</v>
      </c>
      <c r="H32" s="416">
        <f>+F32*G32/1000</f>
        <v>94</v>
      </c>
      <c r="I32" s="410">
        <f t="shared" si="4"/>
        <v>0</v>
      </c>
    </row>
    <row r="33" spans="2:9" ht="14.25">
      <c r="B33" s="374" t="s">
        <v>588</v>
      </c>
      <c r="C33" s="375">
        <v>4</v>
      </c>
      <c r="D33" s="375">
        <v>9400</v>
      </c>
      <c r="E33" s="407">
        <f>+C33*D33/1000</f>
        <v>37.6</v>
      </c>
      <c r="F33" s="408">
        <v>4</v>
      </c>
      <c r="G33" s="408">
        <v>9400</v>
      </c>
      <c r="H33" s="416">
        <f>+F33*G33/1000</f>
        <v>37.6</v>
      </c>
      <c r="I33" s="410">
        <f t="shared" si="4"/>
        <v>0</v>
      </c>
    </row>
    <row r="34" spans="2:9" ht="14.25">
      <c r="B34" s="374" t="s">
        <v>589</v>
      </c>
      <c r="C34" s="375">
        <v>1</v>
      </c>
      <c r="D34" s="375">
        <v>9400</v>
      </c>
      <c r="E34" s="407">
        <f>+C34*D34/1000</f>
        <v>9.4</v>
      </c>
      <c r="F34" s="408">
        <v>1</v>
      </c>
      <c r="G34" s="408">
        <v>9400</v>
      </c>
      <c r="H34" s="416">
        <f>+F34*G34/1000</f>
        <v>9.4</v>
      </c>
      <c r="I34" s="410">
        <f t="shared" si="4"/>
        <v>0</v>
      </c>
    </row>
    <row r="35" spans="2:9" ht="14.25">
      <c r="B35" s="374" t="s">
        <v>590</v>
      </c>
      <c r="C35" s="375">
        <v>3</v>
      </c>
      <c r="D35" s="375">
        <v>9400</v>
      </c>
      <c r="E35" s="407">
        <f>+C35*D35/1000</f>
        <v>28.2</v>
      </c>
      <c r="F35" s="408">
        <v>3</v>
      </c>
      <c r="G35" s="408">
        <v>9400</v>
      </c>
      <c r="H35" s="416">
        <f>+F35*G35/1000</f>
        <v>28.2</v>
      </c>
      <c r="I35" s="410">
        <f t="shared" si="4"/>
        <v>0</v>
      </c>
    </row>
    <row r="36" spans="2:9" ht="14.25">
      <c r="B36" s="374" t="s">
        <v>591</v>
      </c>
      <c r="C36" s="375">
        <v>2</v>
      </c>
      <c r="D36" s="375">
        <v>9400</v>
      </c>
      <c r="E36" s="407">
        <f>+C36*D36/1000</f>
        <v>18.8</v>
      </c>
      <c r="F36" s="408">
        <v>2</v>
      </c>
      <c r="G36" s="408">
        <v>9400</v>
      </c>
      <c r="H36" s="416">
        <f>+F36*G36/1000</f>
        <v>18.8</v>
      </c>
      <c r="I36" s="410">
        <f t="shared" si="4"/>
        <v>0</v>
      </c>
    </row>
    <row r="37" spans="1:9" ht="14.25">
      <c r="A37" s="377"/>
      <c r="B37" s="378" t="s">
        <v>597</v>
      </c>
      <c r="C37" s="379"/>
      <c r="D37" s="379"/>
      <c r="E37" s="417">
        <f>SUM(E31,E32)</f>
        <v>10326.87</v>
      </c>
      <c r="F37" s="412"/>
      <c r="G37" s="412"/>
      <c r="H37" s="417">
        <f>SUM(H31,H32)</f>
        <v>10247.08</v>
      </c>
      <c r="I37" s="410">
        <f t="shared" si="4"/>
        <v>-79.79000000000087</v>
      </c>
    </row>
    <row r="38" spans="1:9" ht="14.25">
      <c r="A38" s="58" t="s">
        <v>598</v>
      </c>
      <c r="B38" s="374" t="s">
        <v>599</v>
      </c>
      <c r="C38" s="375">
        <v>15</v>
      </c>
      <c r="D38" s="375">
        <v>190000</v>
      </c>
      <c r="E38" s="411">
        <f aca="true" t="shared" si="5" ref="E38:E46">+C38*D38/1000</f>
        <v>2850</v>
      </c>
      <c r="F38" s="408"/>
      <c r="G38" s="408"/>
      <c r="H38" s="411">
        <f aca="true" t="shared" si="6" ref="H38:H46">+F38*G38/1000</f>
        <v>0</v>
      </c>
      <c r="I38" s="410">
        <f t="shared" si="4"/>
        <v>-2850</v>
      </c>
    </row>
    <row r="39" spans="1:9" ht="14.25">
      <c r="A39" s="381" t="s">
        <v>598</v>
      </c>
      <c r="B39" s="382" t="s">
        <v>600</v>
      </c>
      <c r="C39" s="373">
        <v>1</v>
      </c>
      <c r="D39" s="373">
        <v>275000</v>
      </c>
      <c r="E39" s="414">
        <f>SUM(E40:E42)</f>
        <v>275</v>
      </c>
      <c r="F39" s="406">
        <f>SUM(F40:F42)</f>
        <v>24</v>
      </c>
      <c r="G39" s="406">
        <v>270700</v>
      </c>
      <c r="H39" s="414">
        <f>SUM(H40:H42)</f>
        <v>6496.8</v>
      </c>
      <c r="I39" s="410">
        <f t="shared" si="4"/>
        <v>6221.8</v>
      </c>
    </row>
    <row r="40" spans="1:9" ht="14.25">
      <c r="A40" s="58" t="s">
        <v>598</v>
      </c>
      <c r="B40" s="374" t="s">
        <v>588</v>
      </c>
      <c r="C40" s="375">
        <v>1</v>
      </c>
      <c r="D40" s="375">
        <v>275000</v>
      </c>
      <c r="E40" s="411">
        <f t="shared" si="5"/>
        <v>275</v>
      </c>
      <c r="F40" s="408">
        <v>12</v>
      </c>
      <c r="G40" s="408">
        <v>270700</v>
      </c>
      <c r="H40" s="411">
        <f t="shared" si="6"/>
        <v>3248.4</v>
      </c>
      <c r="I40" s="410">
        <f t="shared" si="4"/>
        <v>2973.4</v>
      </c>
    </row>
    <row r="41" spans="1:9" ht="14.25">
      <c r="A41" s="58" t="s">
        <v>598</v>
      </c>
      <c r="B41" s="374" t="s">
        <v>589</v>
      </c>
      <c r="C41" s="375"/>
      <c r="D41" s="375"/>
      <c r="E41" s="411">
        <f t="shared" si="5"/>
        <v>0</v>
      </c>
      <c r="F41" s="408">
        <v>0</v>
      </c>
      <c r="G41" s="408">
        <v>270700</v>
      </c>
      <c r="H41" s="411">
        <f t="shared" si="6"/>
        <v>0</v>
      </c>
      <c r="I41" s="410">
        <f t="shared" si="4"/>
        <v>0</v>
      </c>
    </row>
    <row r="42" spans="1:9" ht="14.25">
      <c r="A42" s="58" t="s">
        <v>598</v>
      </c>
      <c r="B42" s="374" t="s">
        <v>590</v>
      </c>
      <c r="C42" s="375"/>
      <c r="D42" s="375"/>
      <c r="E42" s="411">
        <f t="shared" si="5"/>
        <v>0</v>
      </c>
      <c r="F42" s="408">
        <v>12</v>
      </c>
      <c r="G42" s="408">
        <v>270700</v>
      </c>
      <c r="H42" s="411">
        <f t="shared" si="6"/>
        <v>3248.4</v>
      </c>
      <c r="I42" s="410">
        <f t="shared" si="4"/>
        <v>3248.4</v>
      </c>
    </row>
    <row r="43" spans="1:9" ht="14.25">
      <c r="A43" s="381" t="s">
        <v>601</v>
      </c>
      <c r="B43" s="382" t="s">
        <v>602</v>
      </c>
      <c r="C43" s="373">
        <v>3</v>
      </c>
      <c r="D43" s="373">
        <v>173700</v>
      </c>
      <c r="E43" s="414">
        <f>SUM(E44:E46)</f>
        <v>521.1</v>
      </c>
      <c r="F43" s="406">
        <f>SUM(F44:F46)</f>
        <v>11</v>
      </c>
      <c r="G43" s="406">
        <v>171000</v>
      </c>
      <c r="H43" s="414">
        <f t="shared" si="6"/>
        <v>1881</v>
      </c>
      <c r="I43" s="410">
        <f t="shared" si="4"/>
        <v>1359.9</v>
      </c>
    </row>
    <row r="44" spans="1:9" ht="14.25">
      <c r="A44" s="58" t="s">
        <v>601</v>
      </c>
      <c r="B44" s="374" t="s">
        <v>588</v>
      </c>
      <c r="C44" s="375">
        <v>3</v>
      </c>
      <c r="D44" s="375">
        <v>173700</v>
      </c>
      <c r="E44" s="411">
        <f t="shared" si="5"/>
        <v>521.1</v>
      </c>
      <c r="F44" s="408">
        <v>3</v>
      </c>
      <c r="G44" s="408">
        <v>171000</v>
      </c>
      <c r="H44" s="411">
        <f t="shared" si="6"/>
        <v>513</v>
      </c>
      <c r="I44" s="410">
        <f t="shared" si="4"/>
        <v>-8.100000000000023</v>
      </c>
    </row>
    <row r="45" spans="1:9" ht="14.25">
      <c r="A45" s="58" t="s">
        <v>601</v>
      </c>
      <c r="B45" s="374" t="s">
        <v>589</v>
      </c>
      <c r="C45" s="375"/>
      <c r="D45" s="375"/>
      <c r="E45" s="411">
        <f t="shared" si="5"/>
        <v>0</v>
      </c>
      <c r="F45" s="408">
        <v>8</v>
      </c>
      <c r="G45" s="408">
        <v>171000</v>
      </c>
      <c r="H45" s="411">
        <f t="shared" si="6"/>
        <v>1368</v>
      </c>
      <c r="I45" s="410">
        <f t="shared" si="4"/>
        <v>1368</v>
      </c>
    </row>
    <row r="46" spans="1:9" ht="14.25">
      <c r="A46" s="58" t="s">
        <v>601</v>
      </c>
      <c r="B46" s="374" t="s">
        <v>590</v>
      </c>
      <c r="C46" s="375"/>
      <c r="D46" s="375"/>
      <c r="E46" s="411">
        <f t="shared" si="5"/>
        <v>0</v>
      </c>
      <c r="F46" s="408">
        <v>0</v>
      </c>
      <c r="G46" s="408">
        <v>171000</v>
      </c>
      <c r="H46" s="411">
        <f t="shared" si="6"/>
        <v>0</v>
      </c>
      <c r="I46" s="410">
        <f t="shared" si="4"/>
        <v>0</v>
      </c>
    </row>
    <row r="47" spans="1:9" ht="14.25">
      <c r="A47" s="381"/>
      <c r="B47" s="382" t="s">
        <v>603</v>
      </c>
      <c r="C47" s="373">
        <f>SUM(C38,C39,C43)</f>
        <v>19</v>
      </c>
      <c r="D47" s="373"/>
      <c r="E47" s="414">
        <f>SUM(E38,E39,E43)</f>
        <v>3646.1</v>
      </c>
      <c r="F47" s="406">
        <f>SUM(F38,F39,F43)</f>
        <v>35</v>
      </c>
      <c r="G47" s="406"/>
      <c r="H47" s="414">
        <f>SUM(H38,H39,H43)</f>
        <v>8377.8</v>
      </c>
      <c r="I47" s="410">
        <f t="shared" si="4"/>
        <v>4731.699999999999</v>
      </c>
    </row>
    <row r="48" spans="1:9" ht="14.25">
      <c r="A48" s="381" t="s">
        <v>604</v>
      </c>
      <c r="B48" s="382" t="s">
        <v>605</v>
      </c>
      <c r="C48" s="373">
        <v>60</v>
      </c>
      <c r="D48" s="373">
        <v>30000</v>
      </c>
      <c r="E48" s="414">
        <f aca="true" t="shared" si="7" ref="E48:E53">+D48*C48/1000</f>
        <v>1800</v>
      </c>
      <c r="F48" s="406">
        <v>62</v>
      </c>
      <c r="G48" s="406">
        <v>29500</v>
      </c>
      <c r="H48" s="414">
        <f>+G48*F48/1000</f>
        <v>1829</v>
      </c>
      <c r="I48" s="410">
        <f t="shared" si="4"/>
        <v>29</v>
      </c>
    </row>
    <row r="49" spans="2:9" ht="14.25">
      <c r="B49" s="374" t="s">
        <v>588</v>
      </c>
      <c r="C49" s="375">
        <v>22</v>
      </c>
      <c r="D49" s="375">
        <v>30000</v>
      </c>
      <c r="E49" s="411">
        <f t="shared" si="7"/>
        <v>660</v>
      </c>
      <c r="F49" s="408">
        <v>24</v>
      </c>
      <c r="G49" s="408">
        <v>29500</v>
      </c>
      <c r="H49" s="411">
        <f>+G49*F49/1000</f>
        <v>708</v>
      </c>
      <c r="I49" s="410">
        <f t="shared" si="4"/>
        <v>48</v>
      </c>
    </row>
    <row r="50" spans="2:9" ht="14.25">
      <c r="B50" s="374" t="s">
        <v>589</v>
      </c>
      <c r="C50" s="375">
        <v>11</v>
      </c>
      <c r="D50" s="375">
        <v>30000</v>
      </c>
      <c r="E50" s="411">
        <f t="shared" si="7"/>
        <v>330</v>
      </c>
      <c r="F50" s="408">
        <v>11</v>
      </c>
      <c r="G50" s="408">
        <v>29500</v>
      </c>
      <c r="H50" s="411">
        <f>+G50*F50/1000</f>
        <v>324.5</v>
      </c>
      <c r="I50" s="410">
        <f t="shared" si="4"/>
        <v>-5.5</v>
      </c>
    </row>
    <row r="51" spans="2:9" ht="14.25">
      <c r="B51" s="374" t="s">
        <v>590</v>
      </c>
      <c r="C51" s="375">
        <v>8</v>
      </c>
      <c r="D51" s="375">
        <v>30000</v>
      </c>
      <c r="E51" s="411">
        <f t="shared" si="7"/>
        <v>240</v>
      </c>
      <c r="F51" s="408">
        <v>8</v>
      </c>
      <c r="G51" s="408">
        <v>29500</v>
      </c>
      <c r="H51" s="411">
        <f>+G51*F51/1000</f>
        <v>236</v>
      </c>
      <c r="I51" s="410">
        <f t="shared" si="4"/>
        <v>-4</v>
      </c>
    </row>
    <row r="52" spans="2:9" ht="14.25">
      <c r="B52" s="374" t="s">
        <v>606</v>
      </c>
      <c r="C52" s="375">
        <v>19</v>
      </c>
      <c r="D52" s="375">
        <v>30000</v>
      </c>
      <c r="E52" s="411">
        <f t="shared" si="7"/>
        <v>570</v>
      </c>
      <c r="F52" s="408">
        <v>19</v>
      </c>
      <c r="G52" s="408">
        <v>29500</v>
      </c>
      <c r="H52" s="411">
        <f>+G52*F52/1000</f>
        <v>560.5</v>
      </c>
      <c r="I52" s="410">
        <f t="shared" si="4"/>
        <v>-9.5</v>
      </c>
    </row>
    <row r="53" spans="2:9" ht="14.25">
      <c r="B53" s="374" t="s">
        <v>607</v>
      </c>
      <c r="C53" s="375">
        <v>2</v>
      </c>
      <c r="D53" s="375">
        <v>15000</v>
      </c>
      <c r="E53" s="411">
        <f t="shared" si="7"/>
        <v>30</v>
      </c>
      <c r="F53" s="408"/>
      <c r="G53" s="408"/>
      <c r="H53" s="411"/>
      <c r="I53" s="410">
        <f t="shared" si="4"/>
        <v>-30</v>
      </c>
    </row>
    <row r="54" spans="1:9" ht="14.25">
      <c r="A54" s="58" t="s">
        <v>608</v>
      </c>
      <c r="B54" s="383" t="s">
        <v>609</v>
      </c>
      <c r="C54" s="375"/>
      <c r="D54" s="375"/>
      <c r="E54" s="411"/>
      <c r="F54" s="408">
        <v>62</v>
      </c>
      <c r="G54" s="408"/>
      <c r="H54" s="411">
        <f>+G54*F54/1000</f>
        <v>0</v>
      </c>
      <c r="I54" s="410">
        <f t="shared" si="4"/>
        <v>0</v>
      </c>
    </row>
    <row r="55" spans="2:9" ht="14.25">
      <c r="B55" s="374" t="s">
        <v>588</v>
      </c>
      <c r="C55" s="375"/>
      <c r="D55" s="375"/>
      <c r="E55" s="411"/>
      <c r="F55" s="408"/>
      <c r="G55" s="408"/>
      <c r="H55" s="411"/>
      <c r="I55" s="410">
        <f t="shared" si="4"/>
        <v>0</v>
      </c>
    </row>
    <row r="56" spans="2:9" ht="14.25">
      <c r="B56" s="374" t="s">
        <v>589</v>
      </c>
      <c r="C56" s="375"/>
      <c r="D56" s="375"/>
      <c r="E56" s="411"/>
      <c r="F56" s="408"/>
      <c r="G56" s="408"/>
      <c r="H56" s="411"/>
      <c r="I56" s="410">
        <f t="shared" si="4"/>
        <v>0</v>
      </c>
    </row>
    <row r="57" spans="2:9" ht="14.25">
      <c r="B57" s="374" t="s">
        <v>590</v>
      </c>
      <c r="C57" s="375"/>
      <c r="D57" s="375"/>
      <c r="E57" s="411"/>
      <c r="F57" s="408"/>
      <c r="G57" s="408"/>
      <c r="H57" s="411"/>
      <c r="I57" s="410">
        <f t="shared" si="4"/>
        <v>0</v>
      </c>
    </row>
    <row r="58" spans="2:9" ht="14.25">
      <c r="B58" s="374" t="s">
        <v>606</v>
      </c>
      <c r="C58" s="375"/>
      <c r="D58" s="375"/>
      <c r="E58" s="411"/>
      <c r="F58" s="408"/>
      <c r="G58" s="408"/>
      <c r="H58" s="411"/>
      <c r="I58" s="410">
        <f t="shared" si="4"/>
        <v>0</v>
      </c>
    </row>
    <row r="59" spans="1:9" ht="14.25">
      <c r="A59" s="381"/>
      <c r="B59" s="382" t="s">
        <v>610</v>
      </c>
      <c r="C59" s="373">
        <v>62</v>
      </c>
      <c r="D59" s="373"/>
      <c r="E59" s="414">
        <f>SUM(E48,E53,E54)</f>
        <v>1830</v>
      </c>
      <c r="F59" s="406">
        <v>62</v>
      </c>
      <c r="G59" s="406"/>
      <c r="H59" s="414">
        <f>SUM(H48,H53,H54)</f>
        <v>1829</v>
      </c>
      <c r="I59" s="410">
        <f t="shared" si="4"/>
        <v>-1</v>
      </c>
    </row>
    <row r="60" spans="1:9" ht="14.25">
      <c r="A60" s="381"/>
      <c r="B60" s="378" t="s">
        <v>611</v>
      </c>
      <c r="C60" s="373"/>
      <c r="D60" s="373"/>
      <c r="E60" s="414">
        <f>SUM(E37,E47,E59)</f>
        <v>15802.970000000001</v>
      </c>
      <c r="F60" s="406"/>
      <c r="G60" s="406"/>
      <c r="H60" s="414">
        <f>SUM(H37,H47,H59)</f>
        <v>20453.879999999997</v>
      </c>
      <c r="I60" s="410">
        <f t="shared" si="4"/>
        <v>4650.909999999996</v>
      </c>
    </row>
    <row r="61" spans="1:9" ht="14.25">
      <c r="A61" s="381"/>
      <c r="B61" s="382"/>
      <c r="C61" s="373"/>
      <c r="D61" s="373"/>
      <c r="E61" s="414"/>
      <c r="F61" s="406"/>
      <c r="G61" s="406"/>
      <c r="H61" s="414"/>
      <c r="I61" s="410">
        <f t="shared" si="4"/>
        <v>0</v>
      </c>
    </row>
    <row r="62" spans="2:9" ht="14.25">
      <c r="B62" s="374" t="s">
        <v>612</v>
      </c>
      <c r="C62" s="375">
        <v>1</v>
      </c>
      <c r="D62" s="375">
        <v>8000000</v>
      </c>
      <c r="E62" s="411">
        <v>8000</v>
      </c>
      <c r="F62" s="408"/>
      <c r="G62" s="408"/>
      <c r="H62" s="411"/>
      <c r="I62" s="410">
        <f t="shared" si="4"/>
        <v>-8000</v>
      </c>
    </row>
    <row r="63" spans="2:9" ht="14.25">
      <c r="B63" s="374" t="s">
        <v>613</v>
      </c>
      <c r="C63" s="375">
        <v>1</v>
      </c>
      <c r="D63" s="375">
        <v>6000000</v>
      </c>
      <c r="E63" s="411">
        <v>6000</v>
      </c>
      <c r="F63" s="408"/>
      <c r="G63" s="408"/>
      <c r="H63" s="411"/>
      <c r="I63" s="410">
        <f t="shared" si="4"/>
        <v>-6000</v>
      </c>
    </row>
    <row r="64" spans="1:9" ht="14.25">
      <c r="A64" s="58" t="s">
        <v>614</v>
      </c>
      <c r="B64" s="374" t="s">
        <v>615</v>
      </c>
      <c r="C64" s="375">
        <v>20</v>
      </c>
      <c r="D64" s="376">
        <v>150000</v>
      </c>
      <c r="E64" s="411">
        <f>+D64*C64/1000</f>
        <v>3000</v>
      </c>
      <c r="F64" s="408">
        <v>19</v>
      </c>
      <c r="G64" s="409">
        <v>146200</v>
      </c>
      <c r="H64" s="411">
        <f>+G64*F64/1000</f>
        <v>2777.8</v>
      </c>
      <c r="I64" s="410">
        <f t="shared" si="4"/>
        <v>-222.19999999999982</v>
      </c>
    </row>
    <row r="65" spans="1:9" ht="14.25">
      <c r="A65" s="381"/>
      <c r="B65" s="382" t="s">
        <v>616</v>
      </c>
      <c r="C65" s="373">
        <v>20</v>
      </c>
      <c r="D65" s="373"/>
      <c r="E65" s="414">
        <f>SUM(E64)</f>
        <v>3000</v>
      </c>
      <c r="F65" s="406">
        <v>19</v>
      </c>
      <c r="G65" s="406"/>
      <c r="H65" s="414">
        <f>SUM(H64)</f>
        <v>2777.8</v>
      </c>
      <c r="I65" s="410">
        <f t="shared" si="4"/>
        <v>-222.19999999999982</v>
      </c>
    </row>
    <row r="66" spans="1:9" ht="14.25">
      <c r="A66" s="58" t="s">
        <v>617</v>
      </c>
      <c r="B66" s="374" t="s">
        <v>618</v>
      </c>
      <c r="C66" s="375">
        <v>80</v>
      </c>
      <c r="D66" s="375">
        <v>82000</v>
      </c>
      <c r="E66" s="411">
        <f>+C66*D66/1000</f>
        <v>6560</v>
      </c>
      <c r="F66" s="408"/>
      <c r="G66" s="408"/>
      <c r="H66" s="411">
        <f>+F66*G66/1000</f>
        <v>0</v>
      </c>
      <c r="I66" s="410">
        <f t="shared" si="4"/>
        <v>-6560</v>
      </c>
    </row>
    <row r="67" spans="1:9" ht="14.25">
      <c r="A67" s="58" t="s">
        <v>619</v>
      </c>
      <c r="B67" s="374" t="s">
        <v>620</v>
      </c>
      <c r="C67" s="375">
        <v>4</v>
      </c>
      <c r="D67" s="375">
        <v>92500</v>
      </c>
      <c r="E67" s="411">
        <f>+C67*D67/1000</f>
        <v>370</v>
      </c>
      <c r="F67" s="408">
        <v>40</v>
      </c>
      <c r="G67" s="408">
        <v>91050</v>
      </c>
      <c r="H67" s="411">
        <f>+F67*G67/1000</f>
        <v>3642</v>
      </c>
      <c r="I67" s="410">
        <f t="shared" si="4"/>
        <v>3272</v>
      </c>
    </row>
    <row r="68" spans="1:9" ht="14.25">
      <c r="A68" s="58" t="s">
        <v>621</v>
      </c>
      <c r="B68" s="374" t="s">
        <v>622</v>
      </c>
      <c r="C68" s="375">
        <v>5</v>
      </c>
      <c r="D68" s="375">
        <v>82000</v>
      </c>
      <c r="E68" s="411">
        <f>+C68*D68/1000</f>
        <v>410</v>
      </c>
      <c r="F68" s="408">
        <v>46</v>
      </c>
      <c r="G68" s="408">
        <v>80700</v>
      </c>
      <c r="H68" s="411">
        <f>+F68*G68/1000</f>
        <v>3712.2</v>
      </c>
      <c r="I68" s="410">
        <f t="shared" si="4"/>
        <v>3302.2</v>
      </c>
    </row>
    <row r="69" spans="1:9" ht="14.25">
      <c r="A69" s="58" t="s">
        <v>623</v>
      </c>
      <c r="B69" s="374" t="s">
        <v>624</v>
      </c>
      <c r="C69" s="375">
        <v>1</v>
      </c>
      <c r="D69" s="375">
        <v>65000</v>
      </c>
      <c r="E69" s="411">
        <f>+C69*D69/1000</f>
        <v>65</v>
      </c>
      <c r="F69" s="408">
        <v>1</v>
      </c>
      <c r="G69" s="408">
        <v>64000</v>
      </c>
      <c r="H69" s="411">
        <f>+F69*G69/1000</f>
        <v>64</v>
      </c>
      <c r="I69" s="410">
        <f t="shared" si="4"/>
        <v>-1</v>
      </c>
    </row>
    <row r="70" spans="1:9" ht="14.25">
      <c r="A70" s="381"/>
      <c r="B70" s="382" t="s">
        <v>625</v>
      </c>
      <c r="C70" s="373">
        <f>SUM(C66:C69)</f>
        <v>90</v>
      </c>
      <c r="D70" s="373"/>
      <c r="E70" s="414">
        <f>SUM(E66:E69)</f>
        <v>7405</v>
      </c>
      <c r="F70" s="406">
        <f>SUM(F66:F69)</f>
        <v>87</v>
      </c>
      <c r="G70" s="406"/>
      <c r="H70" s="414">
        <f>SUM(H66:H69)</f>
        <v>7418.2</v>
      </c>
      <c r="I70" s="410">
        <f t="shared" si="4"/>
        <v>13.199999999999818</v>
      </c>
    </row>
    <row r="71" spans="1:9" ht="14.25">
      <c r="A71" s="58" t="s">
        <v>626</v>
      </c>
      <c r="B71" s="374" t="s">
        <v>627</v>
      </c>
      <c r="C71" s="375"/>
      <c r="D71" s="375"/>
      <c r="E71" s="411"/>
      <c r="F71" s="408"/>
      <c r="G71" s="408"/>
      <c r="H71" s="411"/>
      <c r="I71" s="410">
        <f t="shared" si="4"/>
        <v>0</v>
      </c>
    </row>
    <row r="72" spans="1:9" ht="14.25">
      <c r="A72" s="58" t="s">
        <v>628</v>
      </c>
      <c r="B72" s="374" t="s">
        <v>629</v>
      </c>
      <c r="C72" s="375">
        <v>19</v>
      </c>
      <c r="D72" s="376">
        <v>700000</v>
      </c>
      <c r="E72" s="411">
        <f>+D72*C72/1000</f>
        <v>13300</v>
      </c>
      <c r="F72" s="408">
        <v>15</v>
      </c>
      <c r="G72" s="409">
        <v>689000</v>
      </c>
      <c r="H72" s="411">
        <f>+G72*F72/1000</f>
        <v>10335</v>
      </c>
      <c r="I72" s="410">
        <f t="shared" si="4"/>
        <v>-2965</v>
      </c>
    </row>
    <row r="73" spans="1:9" ht="14.25">
      <c r="A73" s="58" t="s">
        <v>630</v>
      </c>
      <c r="B73" s="374" t="s">
        <v>631</v>
      </c>
      <c r="C73" s="375">
        <v>1</v>
      </c>
      <c r="D73" s="376">
        <v>700000</v>
      </c>
      <c r="E73" s="407">
        <f>+C73*D73/1000</f>
        <v>700</v>
      </c>
      <c r="F73" s="408">
        <v>2</v>
      </c>
      <c r="G73" s="409">
        <v>772700</v>
      </c>
      <c r="H73" s="407">
        <f>+F73*G73/1000</f>
        <v>1545.4</v>
      </c>
      <c r="I73" s="410">
        <f t="shared" si="4"/>
        <v>845.4000000000001</v>
      </c>
    </row>
    <row r="74" spans="1:9" ht="14.25">
      <c r="A74" s="58" t="s">
        <v>632</v>
      </c>
      <c r="B74" s="374" t="s">
        <v>633</v>
      </c>
      <c r="C74" s="375"/>
      <c r="D74" s="375"/>
      <c r="E74" s="411"/>
      <c r="F74" s="408">
        <v>2</v>
      </c>
      <c r="G74" s="408">
        <v>689000</v>
      </c>
      <c r="H74" s="407">
        <f>+F74*G74/1000</f>
        <v>1378</v>
      </c>
      <c r="I74" s="410">
        <f t="shared" si="4"/>
        <v>1378</v>
      </c>
    </row>
    <row r="75" spans="1:9" ht="14.25">
      <c r="A75" s="381"/>
      <c r="B75" s="382" t="s">
        <v>634</v>
      </c>
      <c r="C75" s="373">
        <f>SUM(C72:C74)</f>
        <v>20</v>
      </c>
      <c r="D75" s="373"/>
      <c r="E75" s="414">
        <f>SUM(E72:E74)</f>
        <v>14000</v>
      </c>
      <c r="F75" s="406">
        <f>SUM(F72:F74)</f>
        <v>19</v>
      </c>
      <c r="G75" s="406"/>
      <c r="H75" s="414">
        <f>SUM(H72:H74)</f>
        <v>13258.4</v>
      </c>
      <c r="I75" s="410">
        <f t="shared" si="4"/>
        <v>-741.6000000000004</v>
      </c>
    </row>
    <row r="76" spans="1:9" ht="14.25">
      <c r="A76" s="377"/>
      <c r="B76" s="378" t="s">
        <v>635</v>
      </c>
      <c r="C76" s="379"/>
      <c r="D76" s="379"/>
      <c r="E76" s="417">
        <f>SUM(E62:E63,E65,E70,E75)</f>
        <v>38405</v>
      </c>
      <c r="F76" s="412"/>
      <c r="G76" s="412"/>
      <c r="H76" s="417">
        <f>SUM(H62:H63,H65,H70,H75)</f>
        <v>23454.4</v>
      </c>
      <c r="I76" s="410">
        <f t="shared" si="4"/>
        <v>-14950.599999999999</v>
      </c>
    </row>
    <row r="77" spans="1:9" ht="14.25">
      <c r="A77" s="381" t="s">
        <v>595</v>
      </c>
      <c r="B77" s="382" t="s">
        <v>636</v>
      </c>
      <c r="C77" s="373">
        <v>9</v>
      </c>
      <c r="D77" s="373">
        <v>9400</v>
      </c>
      <c r="E77" s="416">
        <f>+C77*D77/1000</f>
        <v>84.6</v>
      </c>
      <c r="F77" s="406">
        <v>9</v>
      </c>
      <c r="G77" s="406">
        <v>9400</v>
      </c>
      <c r="H77" s="416">
        <f>+F77*G77/1000</f>
        <v>84.6</v>
      </c>
      <c r="I77" s="410">
        <f t="shared" si="4"/>
        <v>0</v>
      </c>
    </row>
    <row r="78" spans="1:9" ht="14.25">
      <c r="A78" s="377"/>
      <c r="B78" s="378" t="s">
        <v>637</v>
      </c>
      <c r="C78" s="379"/>
      <c r="D78" s="379"/>
      <c r="E78" s="417">
        <f>SUM(E76,E77)</f>
        <v>38489.6</v>
      </c>
      <c r="F78" s="412"/>
      <c r="G78" s="412"/>
      <c r="H78" s="417">
        <f>SUM(H76,H77)</f>
        <v>23539</v>
      </c>
      <c r="I78" s="410">
        <f t="shared" si="4"/>
        <v>-14950.599999999999</v>
      </c>
    </row>
    <row r="79" spans="1:9" ht="14.25">
      <c r="A79" s="58" t="s">
        <v>638</v>
      </c>
      <c r="B79" s="374" t="s">
        <v>639</v>
      </c>
      <c r="C79" s="375">
        <v>5616</v>
      </c>
      <c r="D79" s="376">
        <v>1135</v>
      </c>
      <c r="E79" s="407">
        <f>+D79*C79/1000</f>
        <v>6374.16</v>
      </c>
      <c r="F79" s="408">
        <v>5582</v>
      </c>
      <c r="G79" s="409">
        <v>1061</v>
      </c>
      <c r="H79" s="407">
        <f>+G79*F79/1000</f>
        <v>5922.502</v>
      </c>
      <c r="I79" s="410">
        <f t="shared" si="4"/>
        <v>-451.65799999999945</v>
      </c>
    </row>
    <row r="80" spans="1:9" ht="14.25">
      <c r="A80" s="377"/>
      <c r="B80" s="378" t="s">
        <v>640</v>
      </c>
      <c r="C80" s="379"/>
      <c r="D80" s="379"/>
      <c r="E80" s="417">
        <f>SUM(E79)</f>
        <v>6374.16</v>
      </c>
      <c r="F80" s="412"/>
      <c r="G80" s="412"/>
      <c r="H80" s="417">
        <f>SUM(H79)</f>
        <v>5922.502</v>
      </c>
      <c r="I80" s="410">
        <f t="shared" si="4"/>
        <v>-451.65799999999945</v>
      </c>
    </row>
    <row r="81" spans="1:9" ht="14.25">
      <c r="A81" s="58" t="s">
        <v>154</v>
      </c>
      <c r="B81" s="374" t="s">
        <v>641</v>
      </c>
      <c r="C81" s="375"/>
      <c r="D81" s="375"/>
      <c r="E81" s="411"/>
      <c r="F81" s="408"/>
      <c r="G81" s="408"/>
      <c r="H81" s="411"/>
      <c r="I81" s="410">
        <f t="shared" si="4"/>
        <v>0</v>
      </c>
    </row>
    <row r="82" spans="1:9" ht="14.25">
      <c r="A82" s="58" t="s">
        <v>642</v>
      </c>
      <c r="B82" s="374" t="s">
        <v>643</v>
      </c>
      <c r="C82" s="375"/>
      <c r="D82" s="375"/>
      <c r="E82" s="411"/>
      <c r="F82" s="408"/>
      <c r="G82" s="408"/>
      <c r="H82" s="411"/>
      <c r="I82" s="410">
        <f t="shared" si="4"/>
        <v>0</v>
      </c>
    </row>
    <row r="83" spans="2:9" ht="14.25">
      <c r="B83" s="383" t="s">
        <v>644</v>
      </c>
      <c r="C83" s="375">
        <v>48</v>
      </c>
      <c r="D83" s="375">
        <v>2550000</v>
      </c>
      <c r="E83" s="411">
        <v>6630</v>
      </c>
      <c r="F83" s="408"/>
      <c r="G83" s="408"/>
      <c r="H83" s="411"/>
      <c r="I83" s="410">
        <f t="shared" si="4"/>
        <v>-6630</v>
      </c>
    </row>
    <row r="84" spans="2:9" ht="14.25">
      <c r="B84" s="383" t="s">
        <v>645</v>
      </c>
      <c r="C84" s="375">
        <v>13</v>
      </c>
      <c r="D84" s="375">
        <v>2550000</v>
      </c>
      <c r="E84" s="411">
        <v>1700</v>
      </c>
      <c r="F84" s="408"/>
      <c r="G84" s="408"/>
      <c r="H84" s="411"/>
      <c r="I84" s="410">
        <f t="shared" si="4"/>
        <v>-1700</v>
      </c>
    </row>
    <row r="85" spans="2:9" ht="14.25">
      <c r="B85" s="383" t="s">
        <v>646</v>
      </c>
      <c r="C85" s="375">
        <v>199</v>
      </c>
      <c r="D85" s="375">
        <v>2550000</v>
      </c>
      <c r="E85" s="411">
        <v>32300</v>
      </c>
      <c r="F85" s="408"/>
      <c r="G85" s="408"/>
      <c r="H85" s="411"/>
      <c r="I85" s="410">
        <f t="shared" si="4"/>
        <v>-32300</v>
      </c>
    </row>
    <row r="86" spans="2:9" ht="14.25">
      <c r="B86" s="383" t="s">
        <v>647</v>
      </c>
      <c r="C86" s="375">
        <v>43</v>
      </c>
      <c r="D86" s="375">
        <v>2550000</v>
      </c>
      <c r="E86" s="411">
        <v>6970</v>
      </c>
      <c r="F86" s="408"/>
      <c r="G86" s="408"/>
      <c r="H86" s="411"/>
      <c r="I86" s="410">
        <f aca="true" t="shared" si="8" ref="I86:I149">H86-E86</f>
        <v>-6970</v>
      </c>
    </row>
    <row r="87" spans="2:9" ht="14.25">
      <c r="B87" s="383" t="s">
        <v>648</v>
      </c>
      <c r="C87" s="375">
        <v>107</v>
      </c>
      <c r="D87" s="375">
        <v>2550000</v>
      </c>
      <c r="E87" s="411">
        <v>7395</v>
      </c>
      <c r="F87" s="408"/>
      <c r="G87" s="408"/>
      <c r="H87" s="411"/>
      <c r="I87" s="410">
        <f t="shared" si="8"/>
        <v>-7395</v>
      </c>
    </row>
    <row r="88" spans="2:9" ht="14.25">
      <c r="B88" s="383" t="s">
        <v>649</v>
      </c>
      <c r="C88" s="375">
        <v>26</v>
      </c>
      <c r="D88" s="375">
        <v>2550000</v>
      </c>
      <c r="E88" s="411">
        <v>1785</v>
      </c>
      <c r="F88" s="408"/>
      <c r="G88" s="408"/>
      <c r="H88" s="411"/>
      <c r="I88" s="410">
        <f t="shared" si="8"/>
        <v>-1785</v>
      </c>
    </row>
    <row r="89" spans="2:9" ht="14.25">
      <c r="B89" s="383" t="s">
        <v>650</v>
      </c>
      <c r="C89" s="375">
        <v>137</v>
      </c>
      <c r="D89" s="375">
        <v>2550000</v>
      </c>
      <c r="E89" s="411">
        <v>11050</v>
      </c>
      <c r="F89" s="408"/>
      <c r="G89" s="408"/>
      <c r="H89" s="411"/>
      <c r="I89" s="410">
        <f t="shared" si="8"/>
        <v>-11050</v>
      </c>
    </row>
    <row r="90" spans="2:9" ht="14.25">
      <c r="B90" s="383" t="s">
        <v>651</v>
      </c>
      <c r="C90" s="375">
        <v>30</v>
      </c>
      <c r="D90" s="375">
        <v>2550000</v>
      </c>
      <c r="E90" s="411">
        <v>2465</v>
      </c>
      <c r="F90" s="408"/>
      <c r="G90" s="408"/>
      <c r="H90" s="411"/>
      <c r="I90" s="410">
        <f t="shared" si="8"/>
        <v>-2465</v>
      </c>
    </row>
    <row r="91" spans="1:9" ht="14.25">
      <c r="A91" s="58" t="s">
        <v>652</v>
      </c>
      <c r="B91" s="383" t="s">
        <v>653</v>
      </c>
      <c r="C91" s="375"/>
      <c r="D91" s="375"/>
      <c r="E91" s="411"/>
      <c r="F91" s="408">
        <v>133</v>
      </c>
      <c r="G91" s="408">
        <v>2550000</v>
      </c>
      <c r="H91" s="411">
        <v>18360</v>
      </c>
      <c r="I91" s="410">
        <f t="shared" si="8"/>
        <v>18360</v>
      </c>
    </row>
    <row r="92" spans="1:9" ht="14.25">
      <c r="A92" s="58" t="s">
        <v>652</v>
      </c>
      <c r="B92" s="383" t="s">
        <v>654</v>
      </c>
      <c r="C92" s="375"/>
      <c r="D92" s="375"/>
      <c r="E92" s="411"/>
      <c r="F92" s="408">
        <v>31</v>
      </c>
      <c r="G92" s="408">
        <v>2550000</v>
      </c>
      <c r="H92" s="411">
        <v>4250</v>
      </c>
      <c r="I92" s="410">
        <f t="shared" si="8"/>
        <v>4250</v>
      </c>
    </row>
    <row r="93" spans="1:9" ht="14.25">
      <c r="A93" s="58" t="s">
        <v>655</v>
      </c>
      <c r="B93" s="383" t="s">
        <v>656</v>
      </c>
      <c r="C93" s="375"/>
      <c r="D93" s="375"/>
      <c r="E93" s="411"/>
      <c r="F93" s="408">
        <v>99</v>
      </c>
      <c r="G93" s="408">
        <v>2550000</v>
      </c>
      <c r="H93" s="411">
        <v>15980</v>
      </c>
      <c r="I93" s="410">
        <f t="shared" si="8"/>
        <v>15980</v>
      </c>
    </row>
    <row r="94" spans="1:9" ht="14.25">
      <c r="A94" s="58" t="s">
        <v>655</v>
      </c>
      <c r="B94" s="383" t="s">
        <v>657</v>
      </c>
      <c r="C94" s="375"/>
      <c r="D94" s="375"/>
      <c r="E94" s="411"/>
      <c r="F94" s="408">
        <v>28</v>
      </c>
      <c r="G94" s="408">
        <v>2550000</v>
      </c>
      <c r="H94" s="411">
        <v>4590</v>
      </c>
      <c r="I94" s="410">
        <f t="shared" si="8"/>
        <v>4590</v>
      </c>
    </row>
    <row r="95" spans="1:9" ht="14.25">
      <c r="A95" s="58" t="s">
        <v>658</v>
      </c>
      <c r="B95" s="383" t="s">
        <v>659</v>
      </c>
      <c r="C95" s="375"/>
      <c r="D95" s="375"/>
      <c r="E95" s="411"/>
      <c r="F95" s="408">
        <v>230</v>
      </c>
      <c r="G95" s="408">
        <v>2540000</v>
      </c>
      <c r="H95" s="411">
        <v>15748</v>
      </c>
      <c r="I95" s="410">
        <f t="shared" si="8"/>
        <v>15748</v>
      </c>
    </row>
    <row r="96" spans="1:9" ht="14.25">
      <c r="A96" s="58" t="s">
        <v>658</v>
      </c>
      <c r="B96" s="383" t="s">
        <v>660</v>
      </c>
      <c r="C96" s="375"/>
      <c r="D96" s="375"/>
      <c r="E96" s="411"/>
      <c r="F96" s="408">
        <v>50</v>
      </c>
      <c r="G96" s="408">
        <v>2540000</v>
      </c>
      <c r="H96" s="411">
        <v>3471</v>
      </c>
      <c r="I96" s="410">
        <f t="shared" si="8"/>
        <v>3471</v>
      </c>
    </row>
    <row r="97" spans="2:9" ht="14.25">
      <c r="B97" s="383" t="s">
        <v>661</v>
      </c>
      <c r="C97" s="375">
        <f>SUM(C83:C96)</f>
        <v>603</v>
      </c>
      <c r="D97" s="375"/>
      <c r="E97" s="411">
        <f>SUM(E83:E96)</f>
        <v>70295</v>
      </c>
      <c r="F97" s="408">
        <f>SUM(F83:F96)</f>
        <v>571</v>
      </c>
      <c r="G97" s="408"/>
      <c r="H97" s="411">
        <f>SUM(H83:H96)</f>
        <v>62399</v>
      </c>
      <c r="I97" s="410">
        <f t="shared" si="8"/>
        <v>-7896</v>
      </c>
    </row>
    <row r="98" spans="1:9" ht="14.25">
      <c r="A98" s="58" t="s">
        <v>662</v>
      </c>
      <c r="B98" s="383" t="s">
        <v>663</v>
      </c>
      <c r="C98" s="375"/>
      <c r="D98" s="375"/>
      <c r="E98" s="411"/>
      <c r="F98" s="408">
        <v>13</v>
      </c>
      <c r="G98" s="408">
        <v>45000</v>
      </c>
      <c r="H98" s="411">
        <f>F98*G98/12*8/1000</f>
        <v>390</v>
      </c>
      <c r="I98" s="410">
        <f t="shared" si="8"/>
        <v>390</v>
      </c>
    </row>
    <row r="99" spans="1:9" ht="14.25">
      <c r="A99" s="58" t="s">
        <v>664</v>
      </c>
      <c r="B99" s="383" t="s">
        <v>665</v>
      </c>
      <c r="C99" s="375"/>
      <c r="D99" s="375"/>
      <c r="E99" s="411"/>
      <c r="F99" s="408">
        <v>13</v>
      </c>
      <c r="G99" s="408">
        <v>43000</v>
      </c>
      <c r="H99" s="411">
        <f>F99*G99/12*4/1000</f>
        <v>186.33333333333334</v>
      </c>
      <c r="I99" s="410">
        <f t="shared" si="8"/>
        <v>186.33333333333334</v>
      </c>
    </row>
    <row r="100" spans="2:9" ht="14.25">
      <c r="B100" s="383" t="s">
        <v>666</v>
      </c>
      <c r="C100" s="375"/>
      <c r="D100" s="375"/>
      <c r="E100" s="411"/>
      <c r="F100" s="408"/>
      <c r="G100" s="408"/>
      <c r="H100" s="411">
        <f>SUM(H98:H99)</f>
        <v>576.3333333333334</v>
      </c>
      <c r="I100" s="410">
        <f t="shared" si="8"/>
        <v>576.3333333333334</v>
      </c>
    </row>
    <row r="101" spans="1:9" ht="14.25">
      <c r="A101" s="58" t="s">
        <v>667</v>
      </c>
      <c r="B101" s="374" t="s">
        <v>668</v>
      </c>
      <c r="C101" s="376">
        <v>56</v>
      </c>
      <c r="D101" s="376">
        <v>45000</v>
      </c>
      <c r="E101" s="407">
        <v>1680</v>
      </c>
      <c r="F101" s="409"/>
      <c r="G101" s="409"/>
      <c r="H101" s="407"/>
      <c r="I101" s="410">
        <f t="shared" si="8"/>
        <v>-1680</v>
      </c>
    </row>
    <row r="102" spans="2:9" ht="14.25">
      <c r="B102" s="374" t="s">
        <v>669</v>
      </c>
      <c r="C102" s="376">
        <v>53</v>
      </c>
      <c r="D102" s="376">
        <v>45000</v>
      </c>
      <c r="E102" s="407">
        <v>795</v>
      </c>
      <c r="F102" s="409"/>
      <c r="G102" s="409"/>
      <c r="H102" s="407"/>
      <c r="I102" s="410">
        <f t="shared" si="8"/>
        <v>-795</v>
      </c>
    </row>
    <row r="103" spans="1:9" ht="14.25">
      <c r="A103" s="58" t="s">
        <v>667</v>
      </c>
      <c r="B103" s="374" t="s">
        <v>670</v>
      </c>
      <c r="C103" s="376"/>
      <c r="D103" s="376"/>
      <c r="E103" s="407"/>
      <c r="F103" s="409">
        <v>59</v>
      </c>
      <c r="G103" s="409">
        <v>45000</v>
      </c>
      <c r="H103" s="411">
        <f>F103*G103/12*8/1000</f>
        <v>1770</v>
      </c>
      <c r="I103" s="410">
        <f t="shared" si="8"/>
        <v>1770</v>
      </c>
    </row>
    <row r="104" spans="1:9" ht="14.25">
      <c r="A104" s="58" t="s">
        <v>671</v>
      </c>
      <c r="B104" s="374" t="s">
        <v>672</v>
      </c>
      <c r="C104" s="376"/>
      <c r="D104" s="376"/>
      <c r="E104" s="407"/>
      <c r="F104" s="409">
        <v>50</v>
      </c>
      <c r="G104" s="409">
        <v>42800</v>
      </c>
      <c r="H104" s="411">
        <f>F104*G104/12*4/1000</f>
        <v>713.3333333333334</v>
      </c>
      <c r="I104" s="410">
        <f t="shared" si="8"/>
        <v>713.3333333333334</v>
      </c>
    </row>
    <row r="105" spans="2:9" ht="14.25">
      <c r="B105" s="374" t="s">
        <v>673</v>
      </c>
      <c r="C105" s="376"/>
      <c r="D105" s="376"/>
      <c r="E105" s="407">
        <f>SUM(E101:E104)</f>
        <v>2475</v>
      </c>
      <c r="F105" s="409"/>
      <c r="G105" s="409"/>
      <c r="H105" s="407">
        <f>SUM(H101:H104)</f>
        <v>2483.3333333333335</v>
      </c>
      <c r="I105" s="410">
        <f t="shared" si="8"/>
        <v>8.333333333333485</v>
      </c>
    </row>
    <row r="106" spans="1:9" ht="14.25">
      <c r="A106" s="381"/>
      <c r="B106" s="382" t="s">
        <v>674</v>
      </c>
      <c r="C106" s="384"/>
      <c r="D106" s="384"/>
      <c r="E106" s="416">
        <f>SUM(E97,E100,E105)</f>
        <v>72770</v>
      </c>
      <c r="F106" s="418"/>
      <c r="G106" s="418"/>
      <c r="H106" s="416">
        <f>SUM(H97,H100,H105)</f>
        <v>65458.66666666667</v>
      </c>
      <c r="I106" s="410">
        <f t="shared" si="8"/>
        <v>-7311.3333333333285</v>
      </c>
    </row>
    <row r="107" spans="1:9" ht="14.25">
      <c r="A107" s="58" t="s">
        <v>675</v>
      </c>
      <c r="B107" s="383" t="s">
        <v>676</v>
      </c>
      <c r="C107" s="375">
        <v>18</v>
      </c>
      <c r="D107" s="375">
        <v>11700</v>
      </c>
      <c r="E107" s="411">
        <v>211</v>
      </c>
      <c r="F107" s="408"/>
      <c r="G107" s="408"/>
      <c r="H107" s="411"/>
      <c r="I107" s="410">
        <f t="shared" si="8"/>
        <v>-211</v>
      </c>
    </row>
    <row r="108" spans="1:9" ht="14.25">
      <c r="A108" s="58" t="s">
        <v>675</v>
      </c>
      <c r="B108" s="383" t="s">
        <v>677</v>
      </c>
      <c r="C108" s="375">
        <v>4</v>
      </c>
      <c r="D108" s="375">
        <v>11700</v>
      </c>
      <c r="E108" s="411">
        <v>47</v>
      </c>
      <c r="F108" s="408"/>
      <c r="G108" s="408"/>
      <c r="H108" s="411"/>
      <c r="I108" s="410">
        <f t="shared" si="8"/>
        <v>-47</v>
      </c>
    </row>
    <row r="109" spans="1:9" ht="14.25">
      <c r="A109" s="58" t="s">
        <v>675</v>
      </c>
      <c r="B109" s="383" t="s">
        <v>678</v>
      </c>
      <c r="C109" s="375"/>
      <c r="D109" s="375"/>
      <c r="E109" s="411"/>
      <c r="F109" s="408">
        <v>22</v>
      </c>
      <c r="G109" s="408">
        <v>11700</v>
      </c>
      <c r="H109" s="411">
        <v>172</v>
      </c>
      <c r="I109" s="410">
        <f t="shared" si="8"/>
        <v>172</v>
      </c>
    </row>
    <row r="110" spans="1:9" ht="14.25">
      <c r="A110" s="58" t="s">
        <v>675</v>
      </c>
      <c r="B110" s="383" t="s">
        <v>679</v>
      </c>
      <c r="C110" s="375"/>
      <c r="D110" s="375"/>
      <c r="E110" s="411"/>
      <c r="F110" s="408">
        <v>3</v>
      </c>
      <c r="G110" s="408">
        <v>11700</v>
      </c>
      <c r="H110" s="411">
        <v>23</v>
      </c>
      <c r="I110" s="410">
        <f t="shared" si="8"/>
        <v>23</v>
      </c>
    </row>
    <row r="111" spans="1:9" ht="14.25">
      <c r="A111" s="58" t="s">
        <v>675</v>
      </c>
      <c r="B111" s="383" t="s">
        <v>680</v>
      </c>
      <c r="C111" s="375"/>
      <c r="D111" s="375"/>
      <c r="E111" s="411"/>
      <c r="F111" s="408">
        <v>22</v>
      </c>
      <c r="G111" s="408">
        <v>11700</v>
      </c>
      <c r="H111" s="411">
        <v>86</v>
      </c>
      <c r="I111" s="410">
        <f t="shared" si="8"/>
        <v>86</v>
      </c>
    </row>
    <row r="112" spans="1:9" ht="14.25">
      <c r="A112" s="58" t="s">
        <v>675</v>
      </c>
      <c r="B112" s="383" t="s">
        <v>681</v>
      </c>
      <c r="C112" s="375"/>
      <c r="D112" s="375"/>
      <c r="E112" s="411"/>
      <c r="F112" s="408">
        <v>3</v>
      </c>
      <c r="G112" s="408">
        <v>11700</v>
      </c>
      <c r="H112" s="411">
        <v>12</v>
      </c>
      <c r="I112" s="410">
        <f t="shared" si="8"/>
        <v>12</v>
      </c>
    </row>
    <row r="113" spans="1:9" ht="14.25">
      <c r="A113" s="381"/>
      <c r="B113" s="385" t="s">
        <v>682</v>
      </c>
      <c r="C113" s="373">
        <v>22</v>
      </c>
      <c r="D113" s="373"/>
      <c r="E113" s="414">
        <f>SUM(E107:E112)</f>
        <v>258</v>
      </c>
      <c r="F113" s="406">
        <v>25</v>
      </c>
      <c r="G113" s="406"/>
      <c r="H113" s="414">
        <f>SUM(H107:H112)</f>
        <v>293</v>
      </c>
      <c r="I113" s="410">
        <f t="shared" si="8"/>
        <v>35</v>
      </c>
    </row>
    <row r="114" spans="1:9" ht="14.25">
      <c r="A114" s="377"/>
      <c r="B114" s="378" t="s">
        <v>683</v>
      </c>
      <c r="C114" s="386"/>
      <c r="D114" s="386"/>
      <c r="E114" s="410">
        <f>SUM(E106,E113)</f>
        <v>73028</v>
      </c>
      <c r="F114" s="419"/>
      <c r="G114" s="419"/>
      <c r="H114" s="410">
        <f>SUM(H106,H113)</f>
        <v>65751.66666666667</v>
      </c>
      <c r="I114" s="410">
        <f t="shared" si="8"/>
        <v>-7276.3333333333285</v>
      </c>
    </row>
    <row r="115" spans="2:9" ht="14.25">
      <c r="B115" s="374" t="s">
        <v>684</v>
      </c>
      <c r="C115" s="376">
        <v>109</v>
      </c>
      <c r="D115" s="376">
        <v>55000</v>
      </c>
      <c r="E115" s="407">
        <v>3997</v>
      </c>
      <c r="F115" s="409"/>
      <c r="G115" s="409"/>
      <c r="H115" s="407"/>
      <c r="I115" s="410">
        <f t="shared" si="8"/>
        <v>-3997</v>
      </c>
    </row>
    <row r="116" spans="2:9" ht="14.25">
      <c r="B116" s="374" t="s">
        <v>685</v>
      </c>
      <c r="C116" s="376">
        <v>30</v>
      </c>
      <c r="D116" s="376">
        <v>55000</v>
      </c>
      <c r="E116" s="407">
        <v>1100</v>
      </c>
      <c r="F116" s="409"/>
      <c r="G116" s="409"/>
      <c r="H116" s="407"/>
      <c r="I116" s="410">
        <f t="shared" si="8"/>
        <v>-1100</v>
      </c>
    </row>
    <row r="117" spans="2:9" ht="14.25">
      <c r="B117" s="374" t="s">
        <v>686</v>
      </c>
      <c r="C117" s="376">
        <v>109</v>
      </c>
      <c r="D117" s="376">
        <v>55000</v>
      </c>
      <c r="E117" s="407">
        <v>1999</v>
      </c>
      <c r="F117" s="409"/>
      <c r="G117" s="409"/>
      <c r="H117" s="407"/>
      <c r="I117" s="410">
        <f t="shared" si="8"/>
        <v>-1999</v>
      </c>
    </row>
    <row r="118" spans="2:9" ht="14.25">
      <c r="B118" s="374" t="s">
        <v>687</v>
      </c>
      <c r="C118" s="376">
        <v>30</v>
      </c>
      <c r="D118" s="376">
        <v>55000</v>
      </c>
      <c r="E118" s="407">
        <v>550</v>
      </c>
      <c r="F118" s="409"/>
      <c r="G118" s="409"/>
      <c r="H118" s="407"/>
      <c r="I118" s="410">
        <f t="shared" si="8"/>
        <v>-550</v>
      </c>
    </row>
    <row r="119" spans="1:9" ht="14.25">
      <c r="A119" s="58" t="s">
        <v>688</v>
      </c>
      <c r="B119" s="374" t="s">
        <v>689</v>
      </c>
      <c r="C119" s="376"/>
      <c r="D119" s="376"/>
      <c r="E119" s="407"/>
      <c r="F119" s="409">
        <v>116</v>
      </c>
      <c r="G119" s="409">
        <v>65000</v>
      </c>
      <c r="H119" s="407">
        <v>7540</v>
      </c>
      <c r="I119" s="410">
        <f t="shared" si="8"/>
        <v>7540</v>
      </c>
    </row>
    <row r="120" spans="1:9" ht="14.25">
      <c r="A120" s="58" t="s">
        <v>688</v>
      </c>
      <c r="B120" s="374" t="s">
        <v>690</v>
      </c>
      <c r="C120" s="376"/>
      <c r="D120" s="376"/>
      <c r="E120" s="407"/>
      <c r="F120" s="409">
        <v>56</v>
      </c>
      <c r="G120" s="409">
        <v>65000</v>
      </c>
      <c r="H120" s="407">
        <v>3640</v>
      </c>
      <c r="I120" s="410">
        <f t="shared" si="8"/>
        <v>3640</v>
      </c>
    </row>
    <row r="121" spans="1:9" ht="14.25">
      <c r="A121" s="377"/>
      <c r="B121" s="378" t="s">
        <v>691</v>
      </c>
      <c r="C121" s="386">
        <v>139</v>
      </c>
      <c r="D121" s="386"/>
      <c r="E121" s="410">
        <f>SUM(E115:E120)</f>
        <v>7646</v>
      </c>
      <c r="F121" s="419">
        <v>172</v>
      </c>
      <c r="G121" s="419"/>
      <c r="H121" s="410">
        <f>SUM(H115:H120)</f>
        <v>11180</v>
      </c>
      <c r="I121" s="410">
        <f t="shared" si="8"/>
        <v>3534</v>
      </c>
    </row>
    <row r="122" spans="1:9" ht="14.25">
      <c r="A122" s="381"/>
      <c r="B122" s="382" t="s">
        <v>692</v>
      </c>
      <c r="C122" s="384"/>
      <c r="D122" s="384"/>
      <c r="E122" s="416">
        <f>SUM(E114,E121)</f>
        <v>80674</v>
      </c>
      <c r="F122" s="418"/>
      <c r="G122" s="418"/>
      <c r="H122" s="416">
        <f>SUM(H114,H121)</f>
        <v>76931.66666666667</v>
      </c>
      <c r="I122" s="410">
        <f t="shared" si="8"/>
        <v>-3742.3333333333285</v>
      </c>
    </row>
    <row r="123" spans="1:9" ht="14.25">
      <c r="A123" s="381"/>
      <c r="B123" s="383" t="s">
        <v>693</v>
      </c>
      <c r="C123" s="376">
        <v>94</v>
      </c>
      <c r="D123" s="376">
        <v>2550000</v>
      </c>
      <c r="E123" s="407">
        <v>9180</v>
      </c>
      <c r="F123" s="418"/>
      <c r="G123" s="418"/>
      <c r="H123" s="416"/>
      <c r="I123" s="410">
        <f t="shared" si="8"/>
        <v>-9180</v>
      </c>
    </row>
    <row r="124" spans="1:9" ht="14.25">
      <c r="A124" s="381"/>
      <c r="B124" s="383" t="s">
        <v>694</v>
      </c>
      <c r="C124" s="376">
        <v>21</v>
      </c>
      <c r="D124" s="376">
        <v>2550000</v>
      </c>
      <c r="E124" s="407">
        <v>2040</v>
      </c>
      <c r="F124" s="418"/>
      <c r="G124" s="418"/>
      <c r="H124" s="416"/>
      <c r="I124" s="410">
        <f t="shared" si="8"/>
        <v>-2040</v>
      </c>
    </row>
    <row r="125" spans="1:9" ht="14.25">
      <c r="A125" s="381"/>
      <c r="B125" s="383" t="s">
        <v>695</v>
      </c>
      <c r="C125" s="376">
        <v>160</v>
      </c>
      <c r="D125" s="376">
        <v>2550000</v>
      </c>
      <c r="E125" s="407">
        <v>19550</v>
      </c>
      <c r="F125" s="418"/>
      <c r="G125" s="418"/>
      <c r="H125" s="416"/>
      <c r="I125" s="410">
        <f t="shared" si="8"/>
        <v>-19550</v>
      </c>
    </row>
    <row r="126" spans="1:9" ht="14.25">
      <c r="A126" s="381"/>
      <c r="B126" s="383" t="s">
        <v>696</v>
      </c>
      <c r="C126" s="376">
        <v>32</v>
      </c>
      <c r="D126" s="376">
        <v>2550000</v>
      </c>
      <c r="E126" s="407">
        <v>3910</v>
      </c>
      <c r="F126" s="418"/>
      <c r="G126" s="418"/>
      <c r="H126" s="416"/>
      <c r="I126" s="410">
        <f t="shared" si="8"/>
        <v>-3910</v>
      </c>
    </row>
    <row r="127" spans="1:9" ht="14.25">
      <c r="A127" s="381"/>
      <c r="B127" s="383" t="s">
        <v>697</v>
      </c>
      <c r="C127" s="376">
        <v>66</v>
      </c>
      <c r="D127" s="376">
        <v>2550000</v>
      </c>
      <c r="E127" s="407">
        <v>9690</v>
      </c>
      <c r="F127" s="418"/>
      <c r="G127" s="418"/>
      <c r="H127" s="416"/>
      <c r="I127" s="410">
        <f t="shared" si="8"/>
        <v>-9690</v>
      </c>
    </row>
    <row r="128" spans="1:9" ht="14.25">
      <c r="A128" s="381"/>
      <c r="B128" s="383" t="s">
        <v>698</v>
      </c>
      <c r="C128" s="376">
        <v>15</v>
      </c>
      <c r="D128" s="376">
        <v>2550000</v>
      </c>
      <c r="E128" s="407">
        <v>2210</v>
      </c>
      <c r="F128" s="418"/>
      <c r="G128" s="418"/>
      <c r="H128" s="416"/>
      <c r="I128" s="410">
        <f t="shared" si="8"/>
        <v>-2210</v>
      </c>
    </row>
    <row r="129" spans="1:9" ht="14.25">
      <c r="A129" s="381"/>
      <c r="B129" s="383" t="s">
        <v>699</v>
      </c>
      <c r="C129" s="376">
        <v>73</v>
      </c>
      <c r="D129" s="376">
        <v>2550000</v>
      </c>
      <c r="E129" s="407">
        <v>8330</v>
      </c>
      <c r="F129" s="418"/>
      <c r="G129" s="418"/>
      <c r="H129" s="416"/>
      <c r="I129" s="410">
        <f t="shared" si="8"/>
        <v>-8330</v>
      </c>
    </row>
    <row r="130" spans="1:9" ht="14.25">
      <c r="A130" s="381"/>
      <c r="B130" s="383" t="s">
        <v>700</v>
      </c>
      <c r="C130" s="376">
        <v>22</v>
      </c>
      <c r="D130" s="376">
        <v>2550000</v>
      </c>
      <c r="E130" s="407">
        <v>2550</v>
      </c>
      <c r="F130" s="418"/>
      <c r="G130" s="418"/>
      <c r="H130" s="416"/>
      <c r="I130" s="410">
        <f t="shared" si="8"/>
        <v>-2550</v>
      </c>
    </row>
    <row r="131" spans="1:9" ht="14.25">
      <c r="A131" s="381"/>
      <c r="B131" s="383" t="s">
        <v>701</v>
      </c>
      <c r="C131" s="376">
        <v>67</v>
      </c>
      <c r="D131" s="376">
        <v>2550000</v>
      </c>
      <c r="E131" s="407">
        <v>8840</v>
      </c>
      <c r="F131" s="418"/>
      <c r="G131" s="418"/>
      <c r="H131" s="416"/>
      <c r="I131" s="410">
        <f t="shared" si="8"/>
        <v>-8840</v>
      </c>
    </row>
    <row r="132" spans="1:9" ht="14.25">
      <c r="A132" s="381"/>
      <c r="B132" s="383" t="s">
        <v>702</v>
      </c>
      <c r="C132" s="376">
        <v>15</v>
      </c>
      <c r="D132" s="376">
        <v>2550000</v>
      </c>
      <c r="E132" s="407">
        <v>2040</v>
      </c>
      <c r="F132" s="418"/>
      <c r="G132" s="418"/>
      <c r="H132" s="416"/>
      <c r="I132" s="410">
        <f t="shared" si="8"/>
        <v>-2040</v>
      </c>
    </row>
    <row r="133" spans="1:9" ht="14.25">
      <c r="A133" s="381"/>
      <c r="B133" s="383" t="s">
        <v>703</v>
      </c>
      <c r="C133" s="376">
        <v>135</v>
      </c>
      <c r="D133" s="376">
        <v>2550000</v>
      </c>
      <c r="E133" s="407">
        <v>20230</v>
      </c>
      <c r="F133" s="418"/>
      <c r="G133" s="418"/>
      <c r="H133" s="416"/>
      <c r="I133" s="410">
        <f t="shared" si="8"/>
        <v>-20230</v>
      </c>
    </row>
    <row r="134" spans="1:9" ht="14.25">
      <c r="A134" s="381"/>
      <c r="B134" s="383" t="s">
        <v>704</v>
      </c>
      <c r="C134" s="376">
        <v>31</v>
      </c>
      <c r="D134" s="376">
        <v>2550000</v>
      </c>
      <c r="E134" s="407">
        <v>4590</v>
      </c>
      <c r="F134" s="418"/>
      <c r="G134" s="418"/>
      <c r="H134" s="416"/>
      <c r="I134" s="410">
        <f t="shared" si="8"/>
        <v>-4590</v>
      </c>
    </row>
    <row r="135" spans="1:9" ht="14.25">
      <c r="A135" s="381"/>
      <c r="B135" s="383" t="s">
        <v>705</v>
      </c>
      <c r="C135" s="376">
        <v>178</v>
      </c>
      <c r="D135" s="376">
        <v>2550000</v>
      </c>
      <c r="E135" s="407">
        <v>8670</v>
      </c>
      <c r="F135" s="418"/>
      <c r="G135" s="418"/>
      <c r="H135" s="416"/>
      <c r="I135" s="410">
        <f t="shared" si="8"/>
        <v>-8670</v>
      </c>
    </row>
    <row r="136" spans="1:9" ht="14.25">
      <c r="A136" s="381"/>
      <c r="B136" s="383" t="s">
        <v>706</v>
      </c>
      <c r="C136" s="376">
        <v>42</v>
      </c>
      <c r="D136" s="376">
        <v>2550000</v>
      </c>
      <c r="E136" s="407">
        <v>2040</v>
      </c>
      <c r="F136" s="418"/>
      <c r="G136" s="418"/>
      <c r="H136" s="416"/>
      <c r="I136" s="410">
        <f t="shared" si="8"/>
        <v>-2040</v>
      </c>
    </row>
    <row r="137" spans="1:9" ht="14.25">
      <c r="A137" s="381"/>
      <c r="B137" s="383" t="s">
        <v>707</v>
      </c>
      <c r="C137" s="376">
        <v>80</v>
      </c>
      <c r="D137" s="376">
        <v>2550000</v>
      </c>
      <c r="E137" s="407">
        <v>4845</v>
      </c>
      <c r="F137" s="418"/>
      <c r="G137" s="418"/>
      <c r="H137" s="416"/>
      <c r="I137" s="410">
        <f t="shared" si="8"/>
        <v>-4845</v>
      </c>
    </row>
    <row r="138" spans="1:9" ht="14.25">
      <c r="A138" s="381"/>
      <c r="B138" s="383" t="s">
        <v>708</v>
      </c>
      <c r="C138" s="376">
        <v>16</v>
      </c>
      <c r="D138" s="376">
        <v>2550000</v>
      </c>
      <c r="E138" s="407">
        <v>1020</v>
      </c>
      <c r="F138" s="418"/>
      <c r="G138" s="418"/>
      <c r="H138" s="416"/>
      <c r="I138" s="410">
        <f t="shared" si="8"/>
        <v>-1020</v>
      </c>
    </row>
    <row r="139" spans="1:9" ht="14.25">
      <c r="A139" s="381"/>
      <c r="B139" s="383" t="s">
        <v>709</v>
      </c>
      <c r="C139" s="376">
        <v>80</v>
      </c>
      <c r="D139" s="376">
        <v>2550000</v>
      </c>
      <c r="E139" s="407">
        <v>5865</v>
      </c>
      <c r="F139" s="418"/>
      <c r="G139" s="418"/>
      <c r="H139" s="416"/>
      <c r="I139" s="410">
        <f t="shared" si="8"/>
        <v>-5865</v>
      </c>
    </row>
    <row r="140" spans="1:9" ht="14.25">
      <c r="A140" s="381"/>
      <c r="B140" s="383" t="s">
        <v>710</v>
      </c>
      <c r="C140" s="376">
        <v>16</v>
      </c>
      <c r="D140" s="376">
        <v>2550000</v>
      </c>
      <c r="E140" s="407">
        <v>1190</v>
      </c>
      <c r="F140" s="418"/>
      <c r="G140" s="418"/>
      <c r="H140" s="416"/>
      <c r="I140" s="410">
        <f t="shared" si="8"/>
        <v>-1190</v>
      </c>
    </row>
    <row r="141" spans="1:9" ht="14.25">
      <c r="A141" s="381"/>
      <c r="B141" s="383" t="s">
        <v>711</v>
      </c>
      <c r="C141" s="376">
        <v>134</v>
      </c>
      <c r="D141" s="376">
        <v>2550000</v>
      </c>
      <c r="E141" s="407">
        <v>7650</v>
      </c>
      <c r="F141" s="418"/>
      <c r="G141" s="418"/>
      <c r="H141" s="416"/>
      <c r="I141" s="410">
        <f t="shared" si="8"/>
        <v>-7650</v>
      </c>
    </row>
    <row r="142" spans="1:9" ht="14.25">
      <c r="A142" s="381"/>
      <c r="B142" s="383" t="s">
        <v>712</v>
      </c>
      <c r="C142" s="376">
        <v>37</v>
      </c>
      <c r="D142" s="376">
        <v>2550000</v>
      </c>
      <c r="E142" s="407">
        <v>2125</v>
      </c>
      <c r="F142" s="418"/>
      <c r="G142" s="418"/>
      <c r="H142" s="416"/>
      <c r="I142" s="410">
        <f t="shared" si="8"/>
        <v>-2125</v>
      </c>
    </row>
    <row r="143" spans="1:9" ht="14.25">
      <c r="A143" s="381"/>
      <c r="B143" s="383" t="s">
        <v>713</v>
      </c>
      <c r="C143" s="376">
        <v>136</v>
      </c>
      <c r="D143" s="376">
        <v>2550000</v>
      </c>
      <c r="E143" s="407">
        <v>10200</v>
      </c>
      <c r="F143" s="418"/>
      <c r="G143" s="418"/>
      <c r="H143" s="416"/>
      <c r="I143" s="410">
        <f t="shared" si="8"/>
        <v>-10200</v>
      </c>
    </row>
    <row r="144" spans="1:9" ht="14.25">
      <c r="A144" s="381"/>
      <c r="B144" s="383" t="s">
        <v>714</v>
      </c>
      <c r="C144" s="376">
        <v>30</v>
      </c>
      <c r="D144" s="376">
        <v>2550000</v>
      </c>
      <c r="E144" s="407">
        <v>2210</v>
      </c>
      <c r="F144" s="418"/>
      <c r="G144" s="418"/>
      <c r="H144" s="416"/>
      <c r="I144" s="410">
        <f t="shared" si="8"/>
        <v>-2210</v>
      </c>
    </row>
    <row r="145" spans="1:9" ht="14.25">
      <c r="A145" s="58" t="s">
        <v>715</v>
      </c>
      <c r="B145" s="383" t="s">
        <v>716</v>
      </c>
      <c r="C145" s="384"/>
      <c r="D145" s="384"/>
      <c r="E145" s="416"/>
      <c r="F145" s="409">
        <v>149</v>
      </c>
      <c r="G145" s="409">
        <v>2550000</v>
      </c>
      <c r="H145" s="407">
        <v>14450</v>
      </c>
      <c r="I145" s="410">
        <f t="shared" si="8"/>
        <v>14450</v>
      </c>
    </row>
    <row r="146" spans="1:9" ht="14.25">
      <c r="A146" s="58" t="s">
        <v>715</v>
      </c>
      <c r="B146" s="383" t="s">
        <v>717</v>
      </c>
      <c r="C146" s="384"/>
      <c r="D146" s="384"/>
      <c r="E146" s="416"/>
      <c r="F146" s="409">
        <v>34</v>
      </c>
      <c r="G146" s="409">
        <v>2550000</v>
      </c>
      <c r="H146" s="407">
        <v>3400</v>
      </c>
      <c r="I146" s="410">
        <f t="shared" si="8"/>
        <v>3400</v>
      </c>
    </row>
    <row r="147" spans="1:9" ht="14.25">
      <c r="A147" s="58" t="s">
        <v>718</v>
      </c>
      <c r="B147" s="383" t="s">
        <v>719</v>
      </c>
      <c r="C147" s="384"/>
      <c r="D147" s="384"/>
      <c r="E147" s="416"/>
      <c r="F147" s="409">
        <v>77</v>
      </c>
      <c r="G147" s="409">
        <v>2550000</v>
      </c>
      <c r="H147" s="407">
        <v>9690</v>
      </c>
      <c r="I147" s="410">
        <f t="shared" si="8"/>
        <v>9690</v>
      </c>
    </row>
    <row r="148" spans="1:9" ht="14.25">
      <c r="A148" s="58" t="s">
        <v>718</v>
      </c>
      <c r="B148" s="383" t="s">
        <v>720</v>
      </c>
      <c r="C148" s="384"/>
      <c r="D148" s="384"/>
      <c r="E148" s="416"/>
      <c r="F148" s="409">
        <v>17</v>
      </c>
      <c r="G148" s="409">
        <v>2550000</v>
      </c>
      <c r="H148" s="407">
        <v>1700</v>
      </c>
      <c r="I148" s="410">
        <f t="shared" si="8"/>
        <v>1700</v>
      </c>
    </row>
    <row r="149" spans="1:9" ht="14.25">
      <c r="A149" s="58" t="s">
        <v>721</v>
      </c>
      <c r="B149" s="383" t="s">
        <v>722</v>
      </c>
      <c r="C149" s="376"/>
      <c r="D149" s="376"/>
      <c r="E149" s="407"/>
      <c r="F149" s="409">
        <v>78</v>
      </c>
      <c r="G149" s="409">
        <v>2550000</v>
      </c>
      <c r="H149" s="407">
        <v>11560</v>
      </c>
      <c r="I149" s="410">
        <f t="shared" si="8"/>
        <v>11560</v>
      </c>
    </row>
    <row r="150" spans="1:9" ht="14.25">
      <c r="A150" s="58" t="s">
        <v>721</v>
      </c>
      <c r="B150" s="383" t="s">
        <v>723</v>
      </c>
      <c r="C150" s="376"/>
      <c r="D150" s="376"/>
      <c r="E150" s="407"/>
      <c r="F150" s="409">
        <v>16</v>
      </c>
      <c r="G150" s="409">
        <v>2550000</v>
      </c>
      <c r="H150" s="407">
        <v>2380</v>
      </c>
      <c r="I150" s="410">
        <f aca="true" t="shared" si="9" ref="I150:I213">H150-E150</f>
        <v>2380</v>
      </c>
    </row>
    <row r="151" spans="1:9" ht="14.25">
      <c r="A151" s="58" t="s">
        <v>724</v>
      </c>
      <c r="B151" s="383" t="s">
        <v>725</v>
      </c>
      <c r="C151" s="376"/>
      <c r="D151" s="376"/>
      <c r="E151" s="407"/>
      <c r="F151" s="409">
        <v>139</v>
      </c>
      <c r="G151" s="409">
        <v>2550000</v>
      </c>
      <c r="H151" s="407">
        <v>15980</v>
      </c>
      <c r="I151" s="410">
        <f t="shared" si="9"/>
        <v>15980</v>
      </c>
    </row>
    <row r="152" spans="1:9" ht="14.25">
      <c r="A152" s="58" t="s">
        <v>724</v>
      </c>
      <c r="B152" s="383" t="s">
        <v>726</v>
      </c>
      <c r="C152" s="376"/>
      <c r="D152" s="376"/>
      <c r="E152" s="407"/>
      <c r="F152" s="409">
        <v>39</v>
      </c>
      <c r="G152" s="409">
        <v>2550000</v>
      </c>
      <c r="H152" s="407">
        <v>4420</v>
      </c>
      <c r="I152" s="410">
        <f t="shared" si="9"/>
        <v>4420</v>
      </c>
    </row>
    <row r="153" spans="1:9" ht="14.25">
      <c r="A153" s="58" t="s">
        <v>727</v>
      </c>
      <c r="B153" s="383" t="s">
        <v>728</v>
      </c>
      <c r="C153" s="376"/>
      <c r="D153" s="376"/>
      <c r="E153" s="407"/>
      <c r="F153" s="409">
        <v>128</v>
      </c>
      <c r="G153" s="409">
        <v>2550000</v>
      </c>
      <c r="H153" s="407">
        <v>19210</v>
      </c>
      <c r="I153" s="410">
        <f t="shared" si="9"/>
        <v>19210</v>
      </c>
    </row>
    <row r="154" spans="1:9" ht="14.25">
      <c r="A154" s="58" t="s">
        <v>729</v>
      </c>
      <c r="B154" s="383" t="s">
        <v>730</v>
      </c>
      <c r="C154" s="376"/>
      <c r="D154" s="376"/>
      <c r="E154" s="407"/>
      <c r="F154" s="409">
        <v>31</v>
      </c>
      <c r="G154" s="409">
        <v>2550000</v>
      </c>
      <c r="H154" s="407">
        <v>4590</v>
      </c>
      <c r="I154" s="410">
        <f t="shared" si="9"/>
        <v>4590</v>
      </c>
    </row>
    <row r="155" spans="1:9" ht="14.25">
      <c r="A155" s="58" t="s">
        <v>731</v>
      </c>
      <c r="B155" s="383" t="s">
        <v>732</v>
      </c>
      <c r="C155" s="376"/>
      <c r="D155" s="376"/>
      <c r="E155" s="407"/>
      <c r="F155" s="409">
        <v>130</v>
      </c>
      <c r="G155" s="409">
        <v>2540000</v>
      </c>
      <c r="H155" s="407">
        <v>6265</v>
      </c>
      <c r="I155" s="410">
        <f t="shared" si="9"/>
        <v>6265</v>
      </c>
    </row>
    <row r="156" spans="1:9" ht="14.25">
      <c r="A156" s="58" t="s">
        <v>731</v>
      </c>
      <c r="B156" s="383" t="s">
        <v>733</v>
      </c>
      <c r="C156" s="376"/>
      <c r="D156" s="376"/>
      <c r="E156" s="407"/>
      <c r="F156" s="409">
        <v>35</v>
      </c>
      <c r="G156" s="409">
        <v>2540000</v>
      </c>
      <c r="H156" s="407">
        <v>1693</v>
      </c>
      <c r="I156" s="410">
        <f t="shared" si="9"/>
        <v>1693</v>
      </c>
    </row>
    <row r="157" spans="1:9" ht="14.25">
      <c r="A157" s="58" t="s">
        <v>734</v>
      </c>
      <c r="B157" s="383" t="s">
        <v>735</v>
      </c>
      <c r="C157" s="376"/>
      <c r="D157" s="376"/>
      <c r="E157" s="407"/>
      <c r="F157" s="409">
        <v>94</v>
      </c>
      <c r="G157" s="409">
        <v>2540000</v>
      </c>
      <c r="H157" s="407">
        <v>4657</v>
      </c>
      <c r="I157" s="410">
        <f t="shared" si="9"/>
        <v>4657</v>
      </c>
    </row>
    <row r="158" spans="1:9" ht="14.25">
      <c r="A158" s="58" t="s">
        <v>734</v>
      </c>
      <c r="B158" s="383" t="s">
        <v>736</v>
      </c>
      <c r="C158" s="376"/>
      <c r="D158" s="376"/>
      <c r="E158" s="407"/>
      <c r="F158" s="409">
        <v>18</v>
      </c>
      <c r="G158" s="409">
        <v>2540000</v>
      </c>
      <c r="H158" s="407">
        <v>847</v>
      </c>
      <c r="I158" s="410">
        <f t="shared" si="9"/>
        <v>847</v>
      </c>
    </row>
    <row r="159" spans="1:9" ht="14.25">
      <c r="A159" s="58" t="s">
        <v>737</v>
      </c>
      <c r="B159" s="383" t="s">
        <v>738</v>
      </c>
      <c r="C159" s="376"/>
      <c r="D159" s="376"/>
      <c r="E159" s="407"/>
      <c r="F159" s="409">
        <v>76</v>
      </c>
      <c r="G159" s="409">
        <v>2540000</v>
      </c>
      <c r="H159" s="407">
        <v>5588</v>
      </c>
      <c r="I159" s="410">
        <f t="shared" si="9"/>
        <v>5588</v>
      </c>
    </row>
    <row r="160" spans="1:9" ht="14.25">
      <c r="A160" s="58" t="s">
        <v>737</v>
      </c>
      <c r="B160" s="383" t="s">
        <v>739</v>
      </c>
      <c r="C160" s="376"/>
      <c r="D160" s="376"/>
      <c r="E160" s="407"/>
      <c r="F160" s="409">
        <v>17</v>
      </c>
      <c r="G160" s="409">
        <v>2540000</v>
      </c>
      <c r="H160" s="407">
        <v>1270</v>
      </c>
      <c r="I160" s="410">
        <f t="shared" si="9"/>
        <v>1270</v>
      </c>
    </row>
    <row r="161" spans="1:9" ht="14.25">
      <c r="A161" s="58" t="s">
        <v>740</v>
      </c>
      <c r="B161" s="383" t="s">
        <v>741</v>
      </c>
      <c r="C161" s="376"/>
      <c r="D161" s="376"/>
      <c r="E161" s="407"/>
      <c r="F161" s="409">
        <v>143</v>
      </c>
      <c r="G161" s="409">
        <v>2540000</v>
      </c>
      <c r="H161" s="407">
        <v>8128</v>
      </c>
      <c r="I161" s="410">
        <f t="shared" si="9"/>
        <v>8128</v>
      </c>
    </row>
    <row r="162" spans="1:9" ht="14.25">
      <c r="A162" s="58" t="s">
        <v>740</v>
      </c>
      <c r="B162" s="383" t="s">
        <v>742</v>
      </c>
      <c r="C162" s="376"/>
      <c r="D162" s="376"/>
      <c r="E162" s="407"/>
      <c r="F162" s="409">
        <v>31</v>
      </c>
      <c r="G162" s="409">
        <v>2540000</v>
      </c>
      <c r="H162" s="407">
        <v>1778</v>
      </c>
      <c r="I162" s="410">
        <f t="shared" si="9"/>
        <v>1778</v>
      </c>
    </row>
    <row r="163" spans="1:9" ht="14.25">
      <c r="A163" s="58" t="s">
        <v>743</v>
      </c>
      <c r="B163" s="383" t="s">
        <v>744</v>
      </c>
      <c r="C163" s="376"/>
      <c r="D163" s="376"/>
      <c r="E163" s="407"/>
      <c r="F163" s="409">
        <v>69</v>
      </c>
      <c r="G163" s="409">
        <v>2540000</v>
      </c>
      <c r="H163" s="407">
        <v>4487</v>
      </c>
      <c r="I163" s="410">
        <f t="shared" si="9"/>
        <v>4487</v>
      </c>
    </row>
    <row r="164" spans="1:9" ht="14.25">
      <c r="A164" s="58" t="s">
        <v>743</v>
      </c>
      <c r="B164" s="383" t="s">
        <v>745</v>
      </c>
      <c r="C164" s="376"/>
      <c r="D164" s="376"/>
      <c r="E164" s="407"/>
      <c r="F164" s="409">
        <v>24</v>
      </c>
      <c r="G164" s="409">
        <v>2540000</v>
      </c>
      <c r="H164" s="407">
        <v>1524</v>
      </c>
      <c r="I164" s="410">
        <f t="shared" si="9"/>
        <v>1524</v>
      </c>
    </row>
    <row r="165" spans="1:9" ht="14.25">
      <c r="A165" s="58" t="s">
        <v>746</v>
      </c>
      <c r="B165" s="383" t="s">
        <v>747</v>
      </c>
      <c r="C165" s="376"/>
      <c r="D165" s="376"/>
      <c r="E165" s="407"/>
      <c r="F165" s="409">
        <v>64</v>
      </c>
      <c r="G165" s="409">
        <v>2540000</v>
      </c>
      <c r="H165" s="407">
        <v>4826</v>
      </c>
      <c r="I165" s="410">
        <f t="shared" si="9"/>
        <v>4826</v>
      </c>
    </row>
    <row r="166" spans="1:9" ht="14.25">
      <c r="A166" s="58" t="s">
        <v>746</v>
      </c>
      <c r="B166" s="383" t="s">
        <v>748</v>
      </c>
      <c r="C166" s="376"/>
      <c r="D166" s="376"/>
      <c r="E166" s="407"/>
      <c r="F166" s="409">
        <v>15</v>
      </c>
      <c r="G166" s="409">
        <v>2540000</v>
      </c>
      <c r="H166" s="407">
        <v>1101</v>
      </c>
      <c r="I166" s="410">
        <f t="shared" si="9"/>
        <v>1101</v>
      </c>
    </row>
    <row r="167" spans="1:9" ht="14.25">
      <c r="A167" s="387"/>
      <c r="B167" s="388" t="s">
        <v>749</v>
      </c>
      <c r="C167" s="389"/>
      <c r="D167" s="389"/>
      <c r="E167" s="420">
        <f>SUM(E123:E166)</f>
        <v>138975</v>
      </c>
      <c r="F167" s="421"/>
      <c r="G167" s="421"/>
      <c r="H167" s="420">
        <f>SUM(H123:H166)</f>
        <v>129544</v>
      </c>
      <c r="I167" s="410">
        <f t="shared" si="9"/>
        <v>-9431</v>
      </c>
    </row>
    <row r="168" spans="2:9" ht="14.25">
      <c r="B168" s="383" t="s">
        <v>750</v>
      </c>
      <c r="C168" s="376">
        <v>52</v>
      </c>
      <c r="D168" s="376">
        <v>2550000</v>
      </c>
      <c r="E168" s="407">
        <v>936</v>
      </c>
      <c r="F168" s="409"/>
      <c r="G168" s="409"/>
      <c r="H168" s="407"/>
      <c r="I168" s="410">
        <f t="shared" si="9"/>
        <v>-936</v>
      </c>
    </row>
    <row r="169" spans="2:9" ht="14.25">
      <c r="B169" s="383" t="s">
        <v>751</v>
      </c>
      <c r="C169" s="376"/>
      <c r="D169" s="376"/>
      <c r="E169" s="407"/>
      <c r="F169" s="409"/>
      <c r="G169" s="409"/>
      <c r="H169" s="407"/>
      <c r="I169" s="410">
        <f t="shared" si="9"/>
        <v>0</v>
      </c>
    </row>
    <row r="170" spans="2:9" ht="14.25">
      <c r="B170" s="383" t="s">
        <v>752</v>
      </c>
      <c r="C170" s="376">
        <v>185</v>
      </c>
      <c r="D170" s="376">
        <v>2550000</v>
      </c>
      <c r="E170" s="407">
        <v>1275</v>
      </c>
      <c r="F170" s="409"/>
      <c r="G170" s="409"/>
      <c r="H170" s="407"/>
      <c r="I170" s="410">
        <f t="shared" si="9"/>
        <v>-1275</v>
      </c>
    </row>
    <row r="171" spans="2:9" ht="14.25">
      <c r="B171" s="383" t="s">
        <v>753</v>
      </c>
      <c r="C171" s="376"/>
      <c r="D171" s="376"/>
      <c r="E171" s="407"/>
      <c r="F171" s="409"/>
      <c r="G171" s="409"/>
      <c r="H171" s="407"/>
      <c r="I171" s="410">
        <f t="shared" si="9"/>
        <v>0</v>
      </c>
    </row>
    <row r="172" spans="2:9" ht="14.25">
      <c r="B172" s="383" t="s">
        <v>754</v>
      </c>
      <c r="C172" s="376">
        <v>100</v>
      </c>
      <c r="D172" s="376">
        <v>2550000</v>
      </c>
      <c r="E172" s="407">
        <v>680</v>
      </c>
      <c r="F172" s="409"/>
      <c r="G172" s="409"/>
      <c r="H172" s="407"/>
      <c r="I172" s="410">
        <f t="shared" si="9"/>
        <v>-680</v>
      </c>
    </row>
    <row r="173" spans="2:9" ht="14.25">
      <c r="B173" s="383" t="s">
        <v>755</v>
      </c>
      <c r="C173" s="376"/>
      <c r="D173" s="376"/>
      <c r="E173" s="407"/>
      <c r="F173" s="409"/>
      <c r="G173" s="409"/>
      <c r="H173" s="407"/>
      <c r="I173" s="410">
        <f t="shared" si="9"/>
        <v>0</v>
      </c>
    </row>
    <row r="174" spans="1:9" ht="14.25">
      <c r="A174" s="58" t="s">
        <v>756</v>
      </c>
      <c r="B174" s="383" t="s">
        <v>750</v>
      </c>
      <c r="C174" s="376"/>
      <c r="D174" s="376"/>
      <c r="E174" s="407"/>
      <c r="F174" s="409">
        <v>52</v>
      </c>
      <c r="G174" s="409">
        <v>2550000</v>
      </c>
      <c r="H174" s="407">
        <v>1870</v>
      </c>
      <c r="I174" s="410">
        <f t="shared" si="9"/>
        <v>1870</v>
      </c>
    </row>
    <row r="175" spans="2:9" ht="14.25">
      <c r="B175" s="383" t="s">
        <v>757</v>
      </c>
      <c r="C175" s="376"/>
      <c r="D175" s="376"/>
      <c r="E175" s="407"/>
      <c r="F175" s="409"/>
      <c r="G175" s="409"/>
      <c r="H175" s="407"/>
      <c r="I175" s="410">
        <f t="shared" si="9"/>
        <v>0</v>
      </c>
    </row>
    <row r="176" spans="1:9" ht="14.25">
      <c r="A176" s="58" t="s">
        <v>758</v>
      </c>
      <c r="B176" s="383" t="s">
        <v>752</v>
      </c>
      <c r="C176" s="376"/>
      <c r="D176" s="376"/>
      <c r="E176" s="407"/>
      <c r="F176" s="409">
        <v>185</v>
      </c>
      <c r="G176" s="409">
        <v>2550000</v>
      </c>
      <c r="H176" s="407">
        <v>2550</v>
      </c>
      <c r="I176" s="410">
        <f t="shared" si="9"/>
        <v>2550</v>
      </c>
    </row>
    <row r="177" spans="2:9" ht="14.25">
      <c r="B177" s="383" t="s">
        <v>759</v>
      </c>
      <c r="C177" s="376"/>
      <c r="D177" s="376"/>
      <c r="E177" s="407"/>
      <c r="F177" s="409"/>
      <c r="G177" s="409"/>
      <c r="H177" s="407"/>
      <c r="I177" s="410">
        <f t="shared" si="9"/>
        <v>0</v>
      </c>
    </row>
    <row r="178" spans="1:9" ht="14.25">
      <c r="A178" s="58" t="s">
        <v>758</v>
      </c>
      <c r="B178" s="383" t="s">
        <v>754</v>
      </c>
      <c r="C178" s="376"/>
      <c r="D178" s="376"/>
      <c r="E178" s="407"/>
      <c r="F178" s="409">
        <v>100</v>
      </c>
      <c r="G178" s="409">
        <v>2550000</v>
      </c>
      <c r="H178" s="407">
        <v>1360</v>
      </c>
      <c r="I178" s="410">
        <f t="shared" si="9"/>
        <v>1360</v>
      </c>
    </row>
    <row r="179" spans="2:9" ht="14.25">
      <c r="B179" s="383" t="s">
        <v>760</v>
      </c>
      <c r="C179" s="376"/>
      <c r="D179" s="376"/>
      <c r="E179" s="407"/>
      <c r="F179" s="409"/>
      <c r="G179" s="409"/>
      <c r="H179" s="407"/>
      <c r="I179" s="410">
        <f t="shared" si="9"/>
        <v>0</v>
      </c>
    </row>
    <row r="180" spans="1:9" ht="14.25">
      <c r="A180" s="58" t="s">
        <v>761</v>
      </c>
      <c r="B180" s="383" t="s">
        <v>752</v>
      </c>
      <c r="C180" s="376"/>
      <c r="D180" s="376"/>
      <c r="E180" s="407"/>
      <c r="F180" s="409">
        <v>210</v>
      </c>
      <c r="G180" s="409">
        <v>2540000</v>
      </c>
      <c r="H180" s="407">
        <v>1439</v>
      </c>
      <c r="I180" s="410">
        <f t="shared" si="9"/>
        <v>1439</v>
      </c>
    </row>
    <row r="181" spans="2:9" ht="14.25">
      <c r="B181" s="383" t="s">
        <v>762</v>
      </c>
      <c r="C181" s="376"/>
      <c r="D181" s="376"/>
      <c r="E181" s="407"/>
      <c r="F181" s="409"/>
      <c r="G181" s="409"/>
      <c r="H181" s="407"/>
      <c r="I181" s="410">
        <f t="shared" si="9"/>
        <v>0</v>
      </c>
    </row>
    <row r="182" spans="1:9" ht="14.25">
      <c r="A182" s="58" t="s">
        <v>761</v>
      </c>
      <c r="B182" s="383" t="s">
        <v>754</v>
      </c>
      <c r="C182" s="376"/>
      <c r="D182" s="376"/>
      <c r="E182" s="407"/>
      <c r="F182" s="409">
        <v>100</v>
      </c>
      <c r="G182" s="409">
        <v>2540000</v>
      </c>
      <c r="H182" s="407">
        <v>677</v>
      </c>
      <c r="I182" s="410">
        <f t="shared" si="9"/>
        <v>677</v>
      </c>
    </row>
    <row r="183" spans="2:9" ht="14.25">
      <c r="B183" s="383" t="s">
        <v>763</v>
      </c>
      <c r="C183" s="376"/>
      <c r="D183" s="376"/>
      <c r="E183" s="407"/>
      <c r="F183" s="409"/>
      <c r="G183" s="409"/>
      <c r="H183" s="407"/>
      <c r="I183" s="410">
        <f t="shared" si="9"/>
        <v>0</v>
      </c>
    </row>
    <row r="184" spans="1:9" ht="14.25">
      <c r="A184" s="58" t="s">
        <v>764</v>
      </c>
      <c r="B184" s="383" t="s">
        <v>750</v>
      </c>
      <c r="C184" s="376"/>
      <c r="D184" s="376"/>
      <c r="E184" s="407"/>
      <c r="F184" s="409">
        <v>50</v>
      </c>
      <c r="G184" s="409">
        <v>2540000</v>
      </c>
      <c r="H184" s="407">
        <v>931</v>
      </c>
      <c r="I184" s="410">
        <f t="shared" si="9"/>
        <v>931</v>
      </c>
    </row>
    <row r="185" spans="2:9" ht="14.25">
      <c r="B185" s="383" t="s">
        <v>765</v>
      </c>
      <c r="C185" s="376"/>
      <c r="D185" s="376"/>
      <c r="E185" s="407"/>
      <c r="F185" s="409"/>
      <c r="G185" s="409"/>
      <c r="H185" s="407"/>
      <c r="I185" s="410">
        <f t="shared" si="9"/>
        <v>0</v>
      </c>
    </row>
    <row r="186" spans="1:9" ht="14.25">
      <c r="A186" s="387"/>
      <c r="B186" s="388" t="s">
        <v>766</v>
      </c>
      <c r="C186" s="389">
        <f>SUM(C168:C185)</f>
        <v>337</v>
      </c>
      <c r="D186" s="389"/>
      <c r="E186" s="420">
        <f>SUM(E168:E185)</f>
        <v>2891</v>
      </c>
      <c r="F186" s="421"/>
      <c r="G186" s="421"/>
      <c r="H186" s="420">
        <f>SUM(H168:H185)</f>
        <v>8827</v>
      </c>
      <c r="I186" s="410">
        <f t="shared" si="9"/>
        <v>5936</v>
      </c>
    </row>
    <row r="187" spans="2:9" ht="14.25">
      <c r="B187" s="374" t="s">
        <v>767</v>
      </c>
      <c r="C187" s="376"/>
      <c r="D187" s="376"/>
      <c r="E187" s="407"/>
      <c r="F187" s="409"/>
      <c r="G187" s="409"/>
      <c r="H187" s="407"/>
      <c r="I187" s="410">
        <f t="shared" si="9"/>
        <v>0</v>
      </c>
    </row>
    <row r="188" spans="2:9" ht="14.25">
      <c r="B188" s="374" t="s">
        <v>768</v>
      </c>
      <c r="C188" s="376">
        <v>232</v>
      </c>
      <c r="D188" s="376">
        <v>23000</v>
      </c>
      <c r="E188" s="407">
        <v>3557</v>
      </c>
      <c r="F188" s="409"/>
      <c r="G188" s="409"/>
      <c r="H188" s="407"/>
      <c r="I188" s="410">
        <f t="shared" si="9"/>
        <v>-3557</v>
      </c>
    </row>
    <row r="189" spans="2:9" ht="14.25">
      <c r="B189" s="374" t="s">
        <v>769</v>
      </c>
      <c r="C189" s="376">
        <v>117</v>
      </c>
      <c r="D189" s="376">
        <v>23000</v>
      </c>
      <c r="E189" s="407">
        <v>1794</v>
      </c>
      <c r="F189" s="409"/>
      <c r="G189" s="409"/>
      <c r="H189" s="407"/>
      <c r="I189" s="410">
        <f t="shared" si="9"/>
        <v>-1794</v>
      </c>
    </row>
    <row r="190" spans="2:9" ht="14.25">
      <c r="B190" s="383" t="s">
        <v>770</v>
      </c>
      <c r="C190" s="376">
        <v>216</v>
      </c>
      <c r="D190" s="376">
        <v>2550000</v>
      </c>
      <c r="E190" s="407">
        <v>1700</v>
      </c>
      <c r="F190" s="409"/>
      <c r="G190" s="409"/>
      <c r="H190" s="407"/>
      <c r="I190" s="410">
        <f t="shared" si="9"/>
        <v>-1700</v>
      </c>
    </row>
    <row r="191" spans="2:9" ht="14.25">
      <c r="B191" s="383" t="s">
        <v>771</v>
      </c>
      <c r="C191" s="376">
        <v>66</v>
      </c>
      <c r="D191" s="376">
        <v>2550000</v>
      </c>
      <c r="E191" s="407">
        <v>595</v>
      </c>
      <c r="F191" s="409"/>
      <c r="G191" s="409"/>
      <c r="H191" s="407"/>
      <c r="I191" s="410">
        <f t="shared" si="9"/>
        <v>-595</v>
      </c>
    </row>
    <row r="192" spans="2:9" ht="14.25">
      <c r="B192" s="383" t="s">
        <v>772</v>
      </c>
      <c r="C192" s="376">
        <v>16</v>
      </c>
      <c r="D192" s="376">
        <v>2550000</v>
      </c>
      <c r="E192" s="407">
        <v>85</v>
      </c>
      <c r="F192" s="409"/>
      <c r="G192" s="409"/>
      <c r="H192" s="407"/>
      <c r="I192" s="410">
        <f t="shared" si="9"/>
        <v>-85</v>
      </c>
    </row>
    <row r="193" spans="2:9" ht="14.25">
      <c r="B193" s="383" t="s">
        <v>773</v>
      </c>
      <c r="C193" s="376">
        <v>54</v>
      </c>
      <c r="D193" s="376">
        <v>2550000</v>
      </c>
      <c r="E193" s="407">
        <v>255</v>
      </c>
      <c r="F193" s="409"/>
      <c r="G193" s="409"/>
      <c r="H193" s="407"/>
      <c r="I193" s="410">
        <f t="shared" si="9"/>
        <v>-255</v>
      </c>
    </row>
    <row r="194" spans="2:9" ht="14.25">
      <c r="B194" s="374" t="s">
        <v>774</v>
      </c>
      <c r="C194" s="376">
        <v>97</v>
      </c>
      <c r="D194" s="376">
        <v>32200</v>
      </c>
      <c r="E194" s="407">
        <v>2082</v>
      </c>
      <c r="F194" s="409"/>
      <c r="G194" s="409"/>
      <c r="H194" s="407"/>
      <c r="I194" s="410">
        <f t="shared" si="9"/>
        <v>-2082</v>
      </c>
    </row>
    <row r="195" spans="2:9" ht="14.25">
      <c r="B195" s="383" t="s">
        <v>775</v>
      </c>
      <c r="C195" s="376">
        <v>95</v>
      </c>
      <c r="D195" s="376">
        <v>2550000</v>
      </c>
      <c r="E195" s="407">
        <v>1020</v>
      </c>
      <c r="F195" s="409"/>
      <c r="G195" s="409"/>
      <c r="H195" s="407"/>
      <c r="I195" s="410">
        <f t="shared" si="9"/>
        <v>-1020</v>
      </c>
    </row>
    <row r="196" spans="1:9" ht="14.25">
      <c r="A196" s="58" t="s">
        <v>776</v>
      </c>
      <c r="B196" s="383" t="s">
        <v>777</v>
      </c>
      <c r="C196" s="376"/>
      <c r="D196" s="376"/>
      <c r="E196" s="407"/>
      <c r="F196" s="409">
        <v>127</v>
      </c>
      <c r="G196" s="409">
        <v>2550000</v>
      </c>
      <c r="H196" s="407">
        <v>2040</v>
      </c>
      <c r="I196" s="410">
        <f t="shared" si="9"/>
        <v>2040</v>
      </c>
    </row>
    <row r="197" spans="1:9" ht="14.25">
      <c r="A197" s="58" t="s">
        <v>776</v>
      </c>
      <c r="B197" s="383" t="s">
        <v>778</v>
      </c>
      <c r="C197" s="376"/>
      <c r="D197" s="376"/>
      <c r="E197" s="407"/>
      <c r="F197" s="409">
        <v>63</v>
      </c>
      <c r="G197" s="409">
        <v>2550000</v>
      </c>
      <c r="H197" s="407">
        <v>1020</v>
      </c>
      <c r="I197" s="410">
        <f t="shared" si="9"/>
        <v>1020</v>
      </c>
    </row>
    <row r="198" spans="1:9" ht="14.25">
      <c r="A198" s="58" t="s">
        <v>779</v>
      </c>
      <c r="B198" s="383" t="s">
        <v>780</v>
      </c>
      <c r="C198" s="376"/>
      <c r="D198" s="376"/>
      <c r="E198" s="407"/>
      <c r="F198" s="409">
        <v>17</v>
      </c>
      <c r="G198" s="409">
        <v>2550000</v>
      </c>
      <c r="H198" s="407">
        <v>170</v>
      </c>
      <c r="I198" s="410">
        <f t="shared" si="9"/>
        <v>170</v>
      </c>
    </row>
    <row r="199" spans="1:9" ht="14.25">
      <c r="A199" s="58" t="s">
        <v>779</v>
      </c>
      <c r="B199" s="383" t="s">
        <v>781</v>
      </c>
      <c r="C199" s="376"/>
      <c r="D199" s="376"/>
      <c r="E199" s="407"/>
      <c r="F199" s="409">
        <v>52</v>
      </c>
      <c r="G199" s="409">
        <v>2550000</v>
      </c>
      <c r="H199" s="407">
        <v>510</v>
      </c>
      <c r="I199" s="410">
        <f t="shared" si="9"/>
        <v>510</v>
      </c>
    </row>
    <row r="200" spans="1:9" ht="14.25">
      <c r="A200" s="58" t="s">
        <v>782</v>
      </c>
      <c r="B200" s="383" t="s">
        <v>783</v>
      </c>
      <c r="C200" s="376"/>
      <c r="D200" s="376"/>
      <c r="E200" s="407"/>
      <c r="F200" s="409">
        <v>73</v>
      </c>
      <c r="G200" s="409">
        <v>2550000</v>
      </c>
      <c r="H200" s="407">
        <v>1530</v>
      </c>
      <c r="I200" s="410">
        <f t="shared" si="9"/>
        <v>1530</v>
      </c>
    </row>
    <row r="201" spans="1:9" ht="14.25">
      <c r="A201" s="58" t="s">
        <v>784</v>
      </c>
      <c r="B201" s="383" t="s">
        <v>785</v>
      </c>
      <c r="C201" s="376"/>
      <c r="D201" s="376"/>
      <c r="E201" s="407"/>
      <c r="F201" s="409">
        <v>70</v>
      </c>
      <c r="G201" s="409">
        <v>2540000</v>
      </c>
      <c r="H201" s="407">
        <v>762</v>
      </c>
      <c r="I201" s="410">
        <f t="shared" si="9"/>
        <v>762</v>
      </c>
    </row>
    <row r="202" spans="1:9" ht="14.25">
      <c r="A202" s="58" t="s">
        <v>786</v>
      </c>
      <c r="B202" s="383" t="s">
        <v>787</v>
      </c>
      <c r="C202" s="376"/>
      <c r="D202" s="376"/>
      <c r="E202" s="407"/>
      <c r="F202" s="409">
        <v>120</v>
      </c>
      <c r="G202" s="409">
        <v>2540000</v>
      </c>
      <c r="H202" s="407">
        <v>931</v>
      </c>
      <c r="I202" s="410">
        <f t="shared" si="9"/>
        <v>931</v>
      </c>
    </row>
    <row r="203" spans="1:9" ht="14.25">
      <c r="A203" s="58" t="s">
        <v>786</v>
      </c>
      <c r="B203" s="383" t="s">
        <v>788</v>
      </c>
      <c r="C203" s="376"/>
      <c r="D203" s="376"/>
      <c r="E203" s="407"/>
      <c r="F203" s="409">
        <v>60</v>
      </c>
      <c r="G203" s="409">
        <v>2540000</v>
      </c>
      <c r="H203" s="407">
        <v>508</v>
      </c>
      <c r="I203" s="410">
        <f t="shared" si="9"/>
        <v>508</v>
      </c>
    </row>
    <row r="204" spans="1:9" ht="14.25">
      <c r="A204" s="58" t="s">
        <v>789</v>
      </c>
      <c r="B204" s="383" t="s">
        <v>790</v>
      </c>
      <c r="C204" s="376"/>
      <c r="D204" s="376"/>
      <c r="E204" s="407"/>
      <c r="F204" s="409">
        <v>17</v>
      </c>
      <c r="G204" s="409">
        <v>2540000</v>
      </c>
      <c r="H204" s="407">
        <v>85</v>
      </c>
      <c r="I204" s="410">
        <f t="shared" si="9"/>
        <v>85</v>
      </c>
    </row>
    <row r="205" spans="1:9" ht="14.25">
      <c r="A205" s="58" t="s">
        <v>789</v>
      </c>
      <c r="B205" s="383" t="s">
        <v>791</v>
      </c>
      <c r="C205" s="376"/>
      <c r="D205" s="376"/>
      <c r="E205" s="407"/>
      <c r="F205" s="409">
        <v>50</v>
      </c>
      <c r="G205" s="409">
        <v>2540000</v>
      </c>
      <c r="H205" s="407">
        <v>254</v>
      </c>
      <c r="I205" s="410">
        <f t="shared" si="9"/>
        <v>254</v>
      </c>
    </row>
    <row r="206" spans="1:9" ht="14.25">
      <c r="A206" s="387"/>
      <c r="B206" s="390" t="s">
        <v>792</v>
      </c>
      <c r="C206" s="389"/>
      <c r="D206" s="389"/>
      <c r="E206" s="420">
        <f>SUM(E188:E205)</f>
        <v>11088</v>
      </c>
      <c r="F206" s="421"/>
      <c r="G206" s="421"/>
      <c r="H206" s="420">
        <f>SUM(H188:H205)</f>
        <v>7810</v>
      </c>
      <c r="I206" s="410">
        <f t="shared" si="9"/>
        <v>-3278</v>
      </c>
    </row>
    <row r="207" spans="2:9" ht="14.25">
      <c r="B207" s="383"/>
      <c r="C207" s="376"/>
      <c r="D207" s="376"/>
      <c r="E207" s="407"/>
      <c r="F207" s="409"/>
      <c r="G207" s="409"/>
      <c r="H207" s="407"/>
      <c r="I207" s="410">
        <f t="shared" si="9"/>
        <v>0</v>
      </c>
    </row>
    <row r="208" spans="2:9" ht="14.25">
      <c r="B208" s="374"/>
      <c r="C208" s="376"/>
      <c r="D208" s="376"/>
      <c r="E208" s="407"/>
      <c r="F208" s="409"/>
      <c r="G208" s="409"/>
      <c r="H208" s="407"/>
      <c r="I208" s="410">
        <f t="shared" si="9"/>
        <v>0</v>
      </c>
    </row>
    <row r="209" spans="2:9" ht="14.25">
      <c r="B209" s="374" t="s">
        <v>793</v>
      </c>
      <c r="C209" s="375"/>
      <c r="D209" s="375"/>
      <c r="E209" s="411"/>
      <c r="F209" s="408"/>
      <c r="G209" s="408"/>
      <c r="H209" s="411"/>
      <c r="I209" s="410">
        <f t="shared" si="9"/>
        <v>0</v>
      </c>
    </row>
    <row r="210" spans="2:9" ht="14.25">
      <c r="B210" s="374" t="s">
        <v>794</v>
      </c>
      <c r="C210" s="376">
        <v>1</v>
      </c>
      <c r="D210" s="376">
        <v>240000</v>
      </c>
      <c r="E210" s="407">
        <v>160</v>
      </c>
      <c r="F210" s="409"/>
      <c r="G210" s="409"/>
      <c r="H210" s="407"/>
      <c r="I210" s="410">
        <f t="shared" si="9"/>
        <v>-160</v>
      </c>
    </row>
    <row r="211" spans="2:9" ht="14.25">
      <c r="B211" s="374" t="s">
        <v>795</v>
      </c>
      <c r="C211" s="376">
        <v>1</v>
      </c>
      <c r="D211" s="376">
        <v>240000</v>
      </c>
      <c r="E211" s="407">
        <v>80</v>
      </c>
      <c r="F211" s="409"/>
      <c r="G211" s="409"/>
      <c r="H211" s="407"/>
      <c r="I211" s="410">
        <f t="shared" si="9"/>
        <v>-80</v>
      </c>
    </row>
    <row r="212" spans="2:9" ht="14.25">
      <c r="B212" s="374" t="s">
        <v>796</v>
      </c>
      <c r="C212" s="376">
        <v>2</v>
      </c>
      <c r="D212" s="376">
        <v>384000</v>
      </c>
      <c r="E212" s="407">
        <v>512</v>
      </c>
      <c r="F212" s="409"/>
      <c r="G212" s="409"/>
      <c r="H212" s="407"/>
      <c r="I212" s="410">
        <f t="shared" si="9"/>
        <v>-512</v>
      </c>
    </row>
    <row r="213" spans="2:9" ht="14.25">
      <c r="B213" s="374" t="s">
        <v>797</v>
      </c>
      <c r="C213" s="376">
        <v>2</v>
      </c>
      <c r="D213" s="376">
        <v>384000</v>
      </c>
      <c r="E213" s="407">
        <v>256</v>
      </c>
      <c r="F213" s="409"/>
      <c r="G213" s="409"/>
      <c r="H213" s="407"/>
      <c r="I213" s="410">
        <f t="shared" si="9"/>
        <v>-256</v>
      </c>
    </row>
    <row r="214" spans="2:9" ht="14.25">
      <c r="B214" s="374" t="s">
        <v>798</v>
      </c>
      <c r="C214" s="376">
        <v>14</v>
      </c>
      <c r="D214" s="376">
        <v>192000</v>
      </c>
      <c r="E214" s="407">
        <v>1792</v>
      </c>
      <c r="F214" s="409"/>
      <c r="G214" s="409"/>
      <c r="H214" s="407"/>
      <c r="I214" s="410">
        <f aca="true" t="shared" si="10" ref="I214:I277">H214-E214</f>
        <v>-1792</v>
      </c>
    </row>
    <row r="215" spans="2:9" ht="14.25">
      <c r="B215" s="374" t="s">
        <v>799</v>
      </c>
      <c r="C215" s="376">
        <v>7</v>
      </c>
      <c r="D215" s="376">
        <v>192000</v>
      </c>
      <c r="E215" s="407">
        <v>896</v>
      </c>
      <c r="F215" s="409"/>
      <c r="G215" s="409"/>
      <c r="H215" s="407"/>
      <c r="I215" s="410">
        <f t="shared" si="10"/>
        <v>-896</v>
      </c>
    </row>
    <row r="216" spans="2:9" ht="14.25">
      <c r="B216" s="374" t="s">
        <v>800</v>
      </c>
      <c r="C216" s="376">
        <v>14</v>
      </c>
      <c r="D216" s="376">
        <v>192000</v>
      </c>
      <c r="E216" s="407">
        <v>896</v>
      </c>
      <c r="F216" s="409"/>
      <c r="G216" s="409"/>
      <c r="H216" s="407"/>
      <c r="I216" s="410">
        <f t="shared" si="10"/>
        <v>-896</v>
      </c>
    </row>
    <row r="217" spans="2:9" ht="14.25">
      <c r="B217" s="374" t="s">
        <v>801</v>
      </c>
      <c r="C217" s="376">
        <v>7</v>
      </c>
      <c r="D217" s="376">
        <v>192000</v>
      </c>
      <c r="E217" s="407">
        <v>448</v>
      </c>
      <c r="F217" s="409"/>
      <c r="G217" s="409"/>
      <c r="H217" s="407"/>
      <c r="I217" s="410">
        <f t="shared" si="10"/>
        <v>-448</v>
      </c>
    </row>
    <row r="218" spans="1:9" ht="14.25">
      <c r="A218" s="58" t="s">
        <v>802</v>
      </c>
      <c r="B218" s="374" t="s">
        <v>795</v>
      </c>
      <c r="C218" s="376"/>
      <c r="D218" s="376"/>
      <c r="E218" s="407"/>
      <c r="F218" s="409">
        <v>1</v>
      </c>
      <c r="G218" s="409">
        <v>240000</v>
      </c>
      <c r="H218" s="407">
        <v>160</v>
      </c>
      <c r="I218" s="410">
        <f t="shared" si="10"/>
        <v>160</v>
      </c>
    </row>
    <row r="219" spans="1:9" ht="14.25">
      <c r="A219" s="58" t="s">
        <v>803</v>
      </c>
      <c r="B219" s="374" t="s">
        <v>794</v>
      </c>
      <c r="C219" s="376"/>
      <c r="D219" s="376"/>
      <c r="E219" s="407"/>
      <c r="F219" s="409">
        <v>1</v>
      </c>
      <c r="G219" s="409">
        <v>239000</v>
      </c>
      <c r="H219" s="407">
        <v>80</v>
      </c>
      <c r="I219" s="410">
        <f t="shared" si="10"/>
        <v>80</v>
      </c>
    </row>
    <row r="220" spans="1:9" ht="14.25">
      <c r="A220" s="58" t="s">
        <v>804</v>
      </c>
      <c r="B220" s="374" t="s">
        <v>796</v>
      </c>
      <c r="C220" s="376"/>
      <c r="D220" s="376"/>
      <c r="E220" s="407"/>
      <c r="F220" s="409">
        <v>15</v>
      </c>
      <c r="G220" s="409">
        <v>384000</v>
      </c>
      <c r="H220" s="407">
        <v>3840</v>
      </c>
      <c r="I220" s="410">
        <f t="shared" si="10"/>
        <v>3840</v>
      </c>
    </row>
    <row r="221" spans="1:9" ht="14.25">
      <c r="A221" s="58" t="s">
        <v>804</v>
      </c>
      <c r="B221" s="374" t="s">
        <v>805</v>
      </c>
      <c r="C221" s="376"/>
      <c r="D221" s="376"/>
      <c r="E221" s="407"/>
      <c r="F221" s="409">
        <v>1</v>
      </c>
      <c r="G221" s="409">
        <v>384000</v>
      </c>
      <c r="H221" s="407">
        <v>256</v>
      </c>
      <c r="I221" s="410">
        <f t="shared" si="10"/>
        <v>256</v>
      </c>
    </row>
    <row r="222" spans="1:9" ht="14.25">
      <c r="A222" s="58" t="s">
        <v>806</v>
      </c>
      <c r="B222" s="374" t="s">
        <v>807</v>
      </c>
      <c r="C222" s="376"/>
      <c r="D222" s="376"/>
      <c r="E222" s="407"/>
      <c r="F222" s="409">
        <v>10</v>
      </c>
      <c r="G222" s="409">
        <v>382400</v>
      </c>
      <c r="H222" s="407">
        <v>1275</v>
      </c>
      <c r="I222" s="410">
        <f t="shared" si="10"/>
        <v>1275</v>
      </c>
    </row>
    <row r="223" spans="1:9" ht="14.25">
      <c r="A223" s="58" t="s">
        <v>806</v>
      </c>
      <c r="B223" s="374" t="s">
        <v>808</v>
      </c>
      <c r="C223" s="376"/>
      <c r="D223" s="376"/>
      <c r="E223" s="407"/>
      <c r="F223" s="409">
        <v>1</v>
      </c>
      <c r="G223" s="409">
        <v>382400</v>
      </c>
      <c r="H223" s="407">
        <v>127</v>
      </c>
      <c r="I223" s="410">
        <f t="shared" si="10"/>
        <v>127</v>
      </c>
    </row>
    <row r="224" spans="1:9" ht="14.25">
      <c r="A224" s="58" t="s">
        <v>809</v>
      </c>
      <c r="B224" s="374" t="s">
        <v>810</v>
      </c>
      <c r="C224" s="376"/>
      <c r="D224" s="376"/>
      <c r="E224" s="407"/>
      <c r="F224" s="409">
        <v>4</v>
      </c>
      <c r="G224" s="409">
        <v>144000</v>
      </c>
      <c r="H224" s="407">
        <v>384</v>
      </c>
      <c r="I224" s="410">
        <f t="shared" si="10"/>
        <v>384</v>
      </c>
    </row>
    <row r="225" spans="1:9" ht="14.25">
      <c r="A225" s="58" t="s">
        <v>809</v>
      </c>
      <c r="B225" s="374" t="s">
        <v>811</v>
      </c>
      <c r="C225" s="376"/>
      <c r="D225" s="376"/>
      <c r="E225" s="407"/>
      <c r="F225" s="409">
        <v>8</v>
      </c>
      <c r="G225" s="409">
        <v>144000</v>
      </c>
      <c r="H225" s="407">
        <v>768</v>
      </c>
      <c r="I225" s="410">
        <f t="shared" si="10"/>
        <v>768</v>
      </c>
    </row>
    <row r="226" spans="1:9" ht="14.25">
      <c r="A226" s="58" t="s">
        <v>812</v>
      </c>
      <c r="B226" s="374" t="s">
        <v>813</v>
      </c>
      <c r="C226" s="376"/>
      <c r="D226" s="376"/>
      <c r="E226" s="407"/>
      <c r="F226" s="409">
        <v>4</v>
      </c>
      <c r="G226" s="409">
        <v>143400</v>
      </c>
      <c r="H226" s="407">
        <v>191</v>
      </c>
      <c r="I226" s="410">
        <f t="shared" si="10"/>
        <v>191</v>
      </c>
    </row>
    <row r="227" spans="1:9" ht="14.25">
      <c r="A227" s="58" t="s">
        <v>812</v>
      </c>
      <c r="B227" s="374" t="s">
        <v>814</v>
      </c>
      <c r="C227" s="376"/>
      <c r="D227" s="376"/>
      <c r="E227" s="407"/>
      <c r="F227" s="409">
        <v>8</v>
      </c>
      <c r="G227" s="409">
        <v>143400</v>
      </c>
      <c r="H227" s="407">
        <v>382</v>
      </c>
      <c r="I227" s="410">
        <f t="shared" si="10"/>
        <v>382</v>
      </c>
    </row>
    <row r="228" spans="1:9" ht="14.25">
      <c r="A228" s="387"/>
      <c r="B228" s="390" t="s">
        <v>815</v>
      </c>
      <c r="C228" s="389"/>
      <c r="D228" s="389"/>
      <c r="E228" s="420">
        <f>SUM(E210:E227)</f>
        <v>5040</v>
      </c>
      <c r="F228" s="421"/>
      <c r="G228" s="421"/>
      <c r="H228" s="420">
        <f>SUM(H210:H227)</f>
        <v>7463</v>
      </c>
      <c r="I228" s="410">
        <f t="shared" si="10"/>
        <v>2423</v>
      </c>
    </row>
    <row r="229" spans="2:9" ht="14.25">
      <c r="B229" s="374" t="s">
        <v>816</v>
      </c>
      <c r="C229" s="375">
        <v>34</v>
      </c>
      <c r="D229" s="375">
        <v>45000</v>
      </c>
      <c r="E229" s="411">
        <v>1020</v>
      </c>
      <c r="F229" s="408"/>
      <c r="G229" s="408"/>
      <c r="H229" s="411"/>
      <c r="I229" s="410">
        <f t="shared" si="10"/>
        <v>-1020</v>
      </c>
    </row>
    <row r="230" spans="2:9" ht="14.25">
      <c r="B230" s="374" t="s">
        <v>817</v>
      </c>
      <c r="C230" s="375">
        <v>34</v>
      </c>
      <c r="D230" s="375">
        <v>45000</v>
      </c>
      <c r="E230" s="407">
        <v>510</v>
      </c>
      <c r="F230" s="408"/>
      <c r="G230" s="408"/>
      <c r="H230" s="407"/>
      <c r="I230" s="410">
        <f t="shared" si="10"/>
        <v>-510</v>
      </c>
    </row>
    <row r="231" spans="1:9" ht="14.25">
      <c r="A231" s="58" t="s">
        <v>818</v>
      </c>
      <c r="B231" s="374" t="s">
        <v>816</v>
      </c>
      <c r="C231" s="375"/>
      <c r="D231" s="375"/>
      <c r="E231" s="407"/>
      <c r="F231" s="408">
        <v>71</v>
      </c>
      <c r="G231" s="408">
        <v>45000</v>
      </c>
      <c r="H231" s="407">
        <v>2130</v>
      </c>
      <c r="I231" s="410">
        <f t="shared" si="10"/>
        <v>2130</v>
      </c>
    </row>
    <row r="232" spans="1:9" ht="14.25">
      <c r="A232" s="58" t="s">
        <v>819</v>
      </c>
      <c r="B232" s="374" t="s">
        <v>817</v>
      </c>
      <c r="C232" s="375"/>
      <c r="D232" s="375"/>
      <c r="E232" s="407"/>
      <c r="F232" s="408">
        <v>70</v>
      </c>
      <c r="G232" s="408">
        <v>43000</v>
      </c>
      <c r="H232" s="407">
        <v>1004</v>
      </c>
      <c r="I232" s="410">
        <f t="shared" si="10"/>
        <v>1004</v>
      </c>
    </row>
    <row r="233" spans="2:9" ht="14.25">
      <c r="B233" s="374" t="s">
        <v>820</v>
      </c>
      <c r="C233" s="375"/>
      <c r="D233" s="375"/>
      <c r="E233" s="411">
        <f>SUM(E229:E232)</f>
        <v>1530</v>
      </c>
      <c r="F233" s="408"/>
      <c r="G233" s="408"/>
      <c r="H233" s="411">
        <f>SUM(H229:H232)</f>
        <v>3134</v>
      </c>
      <c r="I233" s="410">
        <f t="shared" si="10"/>
        <v>1604</v>
      </c>
    </row>
    <row r="234" spans="1:9" ht="14.25">
      <c r="A234" s="387"/>
      <c r="B234" s="390" t="s">
        <v>821</v>
      </c>
      <c r="C234" s="389"/>
      <c r="D234" s="389"/>
      <c r="E234" s="420"/>
      <c r="F234" s="421"/>
      <c r="G234" s="421"/>
      <c r="H234" s="420"/>
      <c r="I234" s="410">
        <f t="shared" si="10"/>
        <v>0</v>
      </c>
    </row>
    <row r="235" spans="2:9" ht="14.25">
      <c r="B235" s="374" t="s">
        <v>822</v>
      </c>
      <c r="C235" s="376">
        <v>136</v>
      </c>
      <c r="D235" s="376">
        <v>45000</v>
      </c>
      <c r="E235" s="407">
        <v>4080</v>
      </c>
      <c r="F235" s="409"/>
      <c r="G235" s="409"/>
      <c r="H235" s="407"/>
      <c r="I235" s="410">
        <f t="shared" si="10"/>
        <v>-4080</v>
      </c>
    </row>
    <row r="236" spans="2:9" ht="14.25">
      <c r="B236" s="374" t="s">
        <v>823</v>
      </c>
      <c r="C236" s="376">
        <v>141</v>
      </c>
      <c r="D236" s="376">
        <v>45000</v>
      </c>
      <c r="E236" s="407">
        <v>2115</v>
      </c>
      <c r="F236" s="409"/>
      <c r="G236" s="409"/>
      <c r="H236" s="407"/>
      <c r="I236" s="410">
        <f t="shared" si="10"/>
        <v>-2115</v>
      </c>
    </row>
    <row r="237" spans="1:9" ht="14.25">
      <c r="A237" s="58" t="s">
        <v>824</v>
      </c>
      <c r="B237" s="374" t="s">
        <v>825</v>
      </c>
      <c r="C237" s="376"/>
      <c r="D237" s="376"/>
      <c r="E237" s="407"/>
      <c r="F237" s="409">
        <v>67</v>
      </c>
      <c r="G237" s="409">
        <v>45000</v>
      </c>
      <c r="H237" s="407">
        <v>2010</v>
      </c>
      <c r="I237" s="410">
        <f t="shared" si="10"/>
        <v>2010</v>
      </c>
    </row>
    <row r="238" spans="1:9" ht="14.25">
      <c r="A238" s="58" t="s">
        <v>826</v>
      </c>
      <c r="B238" s="374" t="s">
        <v>827</v>
      </c>
      <c r="C238" s="376"/>
      <c r="D238" s="376"/>
      <c r="E238" s="407"/>
      <c r="F238" s="409">
        <v>15</v>
      </c>
      <c r="G238" s="409">
        <v>45000</v>
      </c>
      <c r="H238" s="407">
        <v>450</v>
      </c>
      <c r="I238" s="410">
        <f t="shared" si="10"/>
        <v>450</v>
      </c>
    </row>
    <row r="239" spans="1:9" ht="14.25">
      <c r="A239" s="58" t="s">
        <v>828</v>
      </c>
      <c r="B239" s="374" t="s">
        <v>829</v>
      </c>
      <c r="C239" s="376"/>
      <c r="D239" s="376"/>
      <c r="E239" s="407"/>
      <c r="F239" s="409">
        <v>55</v>
      </c>
      <c r="G239" s="409">
        <v>45000</v>
      </c>
      <c r="H239" s="407">
        <v>1650</v>
      </c>
      <c r="I239" s="410">
        <f t="shared" si="10"/>
        <v>1650</v>
      </c>
    </row>
    <row r="240" spans="1:9" ht="14.25">
      <c r="A240" s="58" t="s">
        <v>830</v>
      </c>
      <c r="B240" s="374" t="s">
        <v>831</v>
      </c>
      <c r="C240" s="376"/>
      <c r="D240" s="376"/>
      <c r="E240" s="407"/>
      <c r="F240" s="409">
        <v>70</v>
      </c>
      <c r="G240" s="409">
        <v>42800</v>
      </c>
      <c r="H240" s="407">
        <v>999</v>
      </c>
      <c r="I240" s="410">
        <f t="shared" si="10"/>
        <v>999</v>
      </c>
    </row>
    <row r="241" spans="1:9" ht="14.25">
      <c r="A241" s="58" t="s">
        <v>832</v>
      </c>
      <c r="B241" s="374" t="s">
        <v>833</v>
      </c>
      <c r="C241" s="376"/>
      <c r="D241" s="376"/>
      <c r="E241" s="407"/>
      <c r="F241" s="409">
        <v>16</v>
      </c>
      <c r="G241" s="409">
        <v>42800</v>
      </c>
      <c r="H241" s="407">
        <v>228</v>
      </c>
      <c r="I241" s="410">
        <f t="shared" si="10"/>
        <v>228</v>
      </c>
    </row>
    <row r="242" spans="1:9" ht="14.25">
      <c r="A242" s="58" t="s">
        <v>834</v>
      </c>
      <c r="B242" s="374" t="s">
        <v>835</v>
      </c>
      <c r="C242" s="376"/>
      <c r="D242" s="376"/>
      <c r="E242" s="407"/>
      <c r="F242" s="409">
        <v>54</v>
      </c>
      <c r="G242" s="409">
        <v>42800</v>
      </c>
      <c r="H242" s="407">
        <v>770</v>
      </c>
      <c r="I242" s="410">
        <f t="shared" si="10"/>
        <v>770</v>
      </c>
    </row>
    <row r="243" spans="1:9" ht="14.25">
      <c r="A243" s="387"/>
      <c r="B243" s="390" t="s">
        <v>836</v>
      </c>
      <c r="C243" s="389"/>
      <c r="D243" s="389"/>
      <c r="E243" s="420">
        <f>SUM(E235:E242)</f>
        <v>6195</v>
      </c>
      <c r="F243" s="421"/>
      <c r="G243" s="421"/>
      <c r="H243" s="420">
        <f>SUM(H235:H242)</f>
        <v>6107</v>
      </c>
      <c r="I243" s="410">
        <f t="shared" si="10"/>
        <v>-88</v>
      </c>
    </row>
    <row r="244" spans="2:9" ht="14.25">
      <c r="B244" s="374" t="s">
        <v>837</v>
      </c>
      <c r="C244" s="376">
        <v>229</v>
      </c>
      <c r="D244" s="376">
        <v>55000</v>
      </c>
      <c r="E244" s="407">
        <v>8396</v>
      </c>
      <c r="F244" s="409"/>
      <c r="G244" s="409"/>
      <c r="H244" s="407"/>
      <c r="I244" s="410">
        <f t="shared" si="10"/>
        <v>-8396</v>
      </c>
    </row>
    <row r="245" spans="2:9" ht="14.25">
      <c r="B245" s="374" t="s">
        <v>685</v>
      </c>
      <c r="C245" s="376">
        <v>70</v>
      </c>
      <c r="D245" s="376">
        <v>55000</v>
      </c>
      <c r="E245" s="407">
        <v>2567</v>
      </c>
      <c r="F245" s="409"/>
      <c r="G245" s="409"/>
      <c r="H245" s="407"/>
      <c r="I245" s="410">
        <f t="shared" si="10"/>
        <v>-2567</v>
      </c>
    </row>
    <row r="246" spans="2:9" ht="14.25">
      <c r="B246" s="374" t="s">
        <v>838</v>
      </c>
      <c r="C246" s="376">
        <v>229</v>
      </c>
      <c r="D246" s="376">
        <v>55000</v>
      </c>
      <c r="E246" s="407">
        <v>4198</v>
      </c>
      <c r="F246" s="409"/>
      <c r="G246" s="409"/>
      <c r="H246" s="407"/>
      <c r="I246" s="410">
        <f t="shared" si="10"/>
        <v>-4198</v>
      </c>
    </row>
    <row r="247" spans="2:9" ht="14.25">
      <c r="B247" s="374" t="s">
        <v>839</v>
      </c>
      <c r="C247" s="376">
        <v>70</v>
      </c>
      <c r="D247" s="376">
        <v>55000</v>
      </c>
      <c r="E247" s="407">
        <v>1283</v>
      </c>
      <c r="F247" s="409"/>
      <c r="G247" s="409"/>
      <c r="H247" s="407"/>
      <c r="I247" s="410">
        <f t="shared" si="10"/>
        <v>-1283</v>
      </c>
    </row>
    <row r="248" spans="2:9" ht="14.25">
      <c r="B248" s="374" t="s">
        <v>840</v>
      </c>
      <c r="C248" s="376">
        <v>21</v>
      </c>
      <c r="D248" s="376">
        <v>16000</v>
      </c>
      <c r="E248" s="407">
        <v>336</v>
      </c>
      <c r="F248" s="409"/>
      <c r="G248" s="409"/>
      <c r="H248" s="407"/>
      <c r="I248" s="410">
        <f t="shared" si="10"/>
        <v>-336</v>
      </c>
    </row>
    <row r="249" spans="2:9" ht="14.25">
      <c r="B249" s="374" t="s">
        <v>841</v>
      </c>
      <c r="C249" s="376">
        <v>13</v>
      </c>
      <c r="D249" s="376">
        <v>16000</v>
      </c>
      <c r="E249" s="407">
        <v>208</v>
      </c>
      <c r="F249" s="409"/>
      <c r="G249" s="409"/>
      <c r="H249" s="407"/>
      <c r="I249" s="410">
        <f t="shared" si="10"/>
        <v>-208</v>
      </c>
    </row>
    <row r="250" spans="1:9" ht="14.25">
      <c r="A250" s="58" t="s">
        <v>842</v>
      </c>
      <c r="B250" s="374" t="s">
        <v>843</v>
      </c>
      <c r="C250" s="376"/>
      <c r="D250" s="376"/>
      <c r="E250" s="407"/>
      <c r="F250" s="409">
        <v>236</v>
      </c>
      <c r="G250" s="409">
        <v>65000</v>
      </c>
      <c r="H250" s="407">
        <f>F250*G250/1000</f>
        <v>15340</v>
      </c>
      <c r="I250" s="410">
        <f t="shared" si="10"/>
        <v>15340</v>
      </c>
    </row>
    <row r="251" spans="1:9" ht="14.25">
      <c r="A251" s="58" t="s">
        <v>842</v>
      </c>
      <c r="B251" s="374" t="s">
        <v>844</v>
      </c>
      <c r="C251" s="376"/>
      <c r="D251" s="376"/>
      <c r="E251" s="407"/>
      <c r="F251" s="409">
        <v>140</v>
      </c>
      <c r="G251" s="409">
        <v>65000</v>
      </c>
      <c r="H251" s="407">
        <f>F251*G251/1000</f>
        <v>9100</v>
      </c>
      <c r="I251" s="410">
        <f t="shared" si="10"/>
        <v>9100</v>
      </c>
    </row>
    <row r="252" spans="1:9" ht="14.25">
      <c r="A252" s="58" t="s">
        <v>845</v>
      </c>
      <c r="B252" s="374" t="s">
        <v>846</v>
      </c>
      <c r="C252" s="376"/>
      <c r="D252" s="376"/>
      <c r="E252" s="407"/>
      <c r="F252" s="409">
        <v>28</v>
      </c>
      <c r="G252" s="409">
        <v>20000</v>
      </c>
      <c r="H252" s="407">
        <f>F252*G252/1000</f>
        <v>560</v>
      </c>
      <c r="I252" s="410">
        <f t="shared" si="10"/>
        <v>560</v>
      </c>
    </row>
    <row r="253" spans="1:9" ht="14.25">
      <c r="A253" s="58" t="s">
        <v>845</v>
      </c>
      <c r="B253" s="374" t="s">
        <v>847</v>
      </c>
      <c r="C253" s="376"/>
      <c r="D253" s="376"/>
      <c r="E253" s="407"/>
      <c r="F253" s="409">
        <v>37</v>
      </c>
      <c r="G253" s="409">
        <v>20000</v>
      </c>
      <c r="H253" s="407">
        <f>F253*G253/1000</f>
        <v>740</v>
      </c>
      <c r="I253" s="410">
        <f t="shared" si="10"/>
        <v>740</v>
      </c>
    </row>
    <row r="254" spans="1:9" ht="14.25">
      <c r="A254" s="387"/>
      <c r="B254" s="390" t="s">
        <v>848</v>
      </c>
      <c r="C254" s="389">
        <v>299</v>
      </c>
      <c r="D254" s="389"/>
      <c r="E254" s="420">
        <f>SUM(E244:E249)</f>
        <v>16988</v>
      </c>
      <c r="F254" s="421">
        <f>SUM(F250:F251)</f>
        <v>376</v>
      </c>
      <c r="G254" s="421"/>
      <c r="H254" s="420">
        <f>SUM(H246:H253)</f>
        <v>25740</v>
      </c>
      <c r="I254" s="410">
        <f t="shared" si="10"/>
        <v>8752</v>
      </c>
    </row>
    <row r="255" spans="2:9" ht="14.25">
      <c r="B255" s="374" t="s">
        <v>849</v>
      </c>
      <c r="C255" s="375">
        <v>613</v>
      </c>
      <c r="D255" s="375">
        <v>1000</v>
      </c>
      <c r="E255" s="411">
        <v>613</v>
      </c>
      <c r="F255" s="409"/>
      <c r="G255" s="409"/>
      <c r="H255" s="407"/>
      <c r="I255" s="410">
        <f t="shared" si="10"/>
        <v>-613</v>
      </c>
    </row>
    <row r="256" spans="2:9" ht="14.25">
      <c r="B256" s="374" t="s">
        <v>850</v>
      </c>
      <c r="C256" s="375">
        <v>136</v>
      </c>
      <c r="D256" s="375">
        <v>1000</v>
      </c>
      <c r="E256" s="411">
        <v>136</v>
      </c>
      <c r="F256" s="409"/>
      <c r="G256" s="409"/>
      <c r="H256" s="407"/>
      <c r="I256" s="410">
        <f t="shared" si="10"/>
        <v>-136</v>
      </c>
    </row>
    <row r="257" spans="2:9" ht="14.25">
      <c r="B257" s="374" t="s">
        <v>851</v>
      </c>
      <c r="C257" s="375">
        <v>490</v>
      </c>
      <c r="D257" s="376">
        <v>10000</v>
      </c>
      <c r="E257" s="407">
        <v>4900</v>
      </c>
      <c r="F257" s="409"/>
      <c r="G257" s="409"/>
      <c r="H257" s="407"/>
      <c r="I257" s="410">
        <f t="shared" si="10"/>
        <v>-4900</v>
      </c>
    </row>
    <row r="258" spans="2:9" ht="14.25">
      <c r="B258" s="374" t="s">
        <v>852</v>
      </c>
      <c r="C258" s="375">
        <v>110</v>
      </c>
      <c r="D258" s="376">
        <v>10000</v>
      </c>
      <c r="E258" s="407">
        <v>1100</v>
      </c>
      <c r="F258" s="408"/>
      <c r="G258" s="408"/>
      <c r="H258" s="411"/>
      <c r="I258" s="410">
        <f t="shared" si="10"/>
        <v>-1100</v>
      </c>
    </row>
    <row r="259" spans="1:9" ht="14.25">
      <c r="A259" s="58" t="s">
        <v>853</v>
      </c>
      <c r="B259" s="374" t="s">
        <v>849</v>
      </c>
      <c r="C259" s="375"/>
      <c r="D259" s="375"/>
      <c r="E259" s="411"/>
      <c r="F259" s="408">
        <v>576</v>
      </c>
      <c r="G259" s="408">
        <v>1000</v>
      </c>
      <c r="H259" s="407">
        <f>F259*G259/1000</f>
        <v>576</v>
      </c>
      <c r="I259" s="410">
        <f t="shared" si="10"/>
        <v>576</v>
      </c>
    </row>
    <row r="260" spans="1:9" ht="14.25">
      <c r="A260" s="58" t="s">
        <v>853</v>
      </c>
      <c r="B260" s="374" t="s">
        <v>850</v>
      </c>
      <c r="C260" s="375"/>
      <c r="D260" s="375"/>
      <c r="E260" s="411"/>
      <c r="F260" s="408">
        <v>140</v>
      </c>
      <c r="G260" s="408">
        <v>1000</v>
      </c>
      <c r="H260" s="407">
        <f>F260*G260/1000</f>
        <v>140</v>
      </c>
      <c r="I260" s="410">
        <f t="shared" si="10"/>
        <v>140</v>
      </c>
    </row>
    <row r="261" spans="1:9" ht="14.25">
      <c r="A261" s="58" t="s">
        <v>854</v>
      </c>
      <c r="B261" s="374" t="s">
        <v>851</v>
      </c>
      <c r="C261" s="375"/>
      <c r="D261" s="376"/>
      <c r="E261" s="407"/>
      <c r="F261" s="409">
        <v>412</v>
      </c>
      <c r="G261" s="409">
        <v>10000</v>
      </c>
      <c r="H261" s="407">
        <f>F261*G261/1000</f>
        <v>4120</v>
      </c>
      <c r="I261" s="410">
        <f t="shared" si="10"/>
        <v>4120</v>
      </c>
    </row>
    <row r="262" spans="1:9" ht="14.25">
      <c r="A262" s="58" t="s">
        <v>854</v>
      </c>
      <c r="B262" s="374" t="s">
        <v>852</v>
      </c>
      <c r="C262" s="375"/>
      <c r="D262" s="376"/>
      <c r="E262" s="407"/>
      <c r="F262" s="409">
        <v>122</v>
      </c>
      <c r="G262" s="409">
        <v>10000</v>
      </c>
      <c r="H262" s="407">
        <f>F262*G262/1000</f>
        <v>1220</v>
      </c>
      <c r="I262" s="410">
        <f t="shared" si="10"/>
        <v>1220</v>
      </c>
    </row>
    <row r="263" spans="1:9" ht="14.25">
      <c r="A263" s="387"/>
      <c r="B263" s="390" t="s">
        <v>855</v>
      </c>
      <c r="C263" s="389"/>
      <c r="D263" s="391"/>
      <c r="E263" s="420">
        <f>SUM(E255:E262)</f>
        <v>6749</v>
      </c>
      <c r="F263" s="421"/>
      <c r="G263" s="422"/>
      <c r="H263" s="420">
        <f>SUM(H255:H262)</f>
        <v>6056</v>
      </c>
      <c r="I263" s="410">
        <f t="shared" si="10"/>
        <v>-693</v>
      </c>
    </row>
    <row r="264" spans="1:9" ht="14.25">
      <c r="A264" s="381"/>
      <c r="B264" s="382" t="s">
        <v>856</v>
      </c>
      <c r="C264" s="384"/>
      <c r="D264" s="384"/>
      <c r="E264" s="416">
        <f>SUM(E167,E186,E206,E228,E233,E243,E254,E263)</f>
        <v>189456</v>
      </c>
      <c r="F264" s="418"/>
      <c r="G264" s="418"/>
      <c r="H264" s="416">
        <f>SUM(H167,H186,H206,H228,H233,H243,H254,H263)</f>
        <v>194681</v>
      </c>
      <c r="I264" s="410">
        <f t="shared" si="10"/>
        <v>5225</v>
      </c>
    </row>
    <row r="265" spans="2:9" ht="14.25">
      <c r="B265" s="374"/>
      <c r="C265" s="376"/>
      <c r="D265" s="376"/>
      <c r="E265" s="407"/>
      <c r="F265" s="409"/>
      <c r="G265" s="409"/>
      <c r="H265" s="407"/>
      <c r="I265" s="410">
        <f t="shared" si="10"/>
        <v>0</v>
      </c>
    </row>
    <row r="266" spans="2:9" ht="15">
      <c r="B266" s="392" t="s">
        <v>857</v>
      </c>
      <c r="C266" s="393"/>
      <c r="D266" s="393"/>
      <c r="E266" s="423">
        <f>SUM(E20,E31,E47,E59,E76,E80,E106,E121,E264)</f>
        <v>437241.41000000003</v>
      </c>
      <c r="F266" s="424"/>
      <c r="G266" s="424"/>
      <c r="H266" s="423">
        <f>SUM(H20,H31,H47,H59,H76,H80,H106,H121,H264)</f>
        <v>429172.29866666667</v>
      </c>
      <c r="I266" s="410">
        <f t="shared" si="10"/>
        <v>-8069.111333333363</v>
      </c>
    </row>
    <row r="267" spans="2:9" ht="14.25">
      <c r="B267" s="374" t="s">
        <v>0</v>
      </c>
      <c r="C267" s="375">
        <v>47</v>
      </c>
      <c r="D267" s="375">
        <v>11700</v>
      </c>
      <c r="E267" s="411">
        <v>550</v>
      </c>
      <c r="F267" s="408"/>
      <c r="G267" s="408"/>
      <c r="H267" s="411"/>
      <c r="I267" s="410">
        <f t="shared" si="10"/>
        <v>-550</v>
      </c>
    </row>
    <row r="268" spans="2:9" ht="14.25">
      <c r="B268" s="374" t="s">
        <v>1</v>
      </c>
      <c r="C268" s="375">
        <v>16</v>
      </c>
      <c r="D268" s="375">
        <v>11700</v>
      </c>
      <c r="E268" s="411">
        <v>187</v>
      </c>
      <c r="F268" s="408"/>
      <c r="G268" s="408"/>
      <c r="H268" s="411"/>
      <c r="I268" s="410">
        <f t="shared" si="10"/>
        <v>-187</v>
      </c>
    </row>
    <row r="269" spans="1:9" ht="14.25">
      <c r="A269" s="58" t="s">
        <v>2</v>
      </c>
      <c r="B269" s="374" t="s">
        <v>3</v>
      </c>
      <c r="C269" s="375"/>
      <c r="D269" s="375"/>
      <c r="E269" s="411"/>
      <c r="F269" s="408">
        <v>48</v>
      </c>
      <c r="G269" s="408">
        <v>11700</v>
      </c>
      <c r="H269" s="407">
        <f>F269*G269/12*8/1000</f>
        <v>374.4</v>
      </c>
      <c r="I269" s="410">
        <f t="shared" si="10"/>
        <v>374.4</v>
      </c>
    </row>
    <row r="270" spans="1:9" ht="14.25">
      <c r="A270" s="58" t="s">
        <v>2</v>
      </c>
      <c r="B270" s="374" t="s">
        <v>4</v>
      </c>
      <c r="C270" s="375"/>
      <c r="D270" s="375"/>
      <c r="E270" s="411"/>
      <c r="F270" s="408">
        <v>16</v>
      </c>
      <c r="G270" s="408">
        <v>11700</v>
      </c>
      <c r="H270" s="407">
        <f>F270*G270/12*8/1000</f>
        <v>124.8</v>
      </c>
      <c r="I270" s="410">
        <f t="shared" si="10"/>
        <v>124.8</v>
      </c>
    </row>
    <row r="271" spans="1:9" ht="14.25">
      <c r="A271" s="58" t="s">
        <v>5</v>
      </c>
      <c r="B271" s="374" t="s">
        <v>6</v>
      </c>
      <c r="C271" s="375"/>
      <c r="D271" s="375"/>
      <c r="E271" s="411"/>
      <c r="F271" s="408">
        <v>1</v>
      </c>
      <c r="G271" s="408">
        <v>11700</v>
      </c>
      <c r="H271" s="407">
        <f>F271*G271/12*8/1000</f>
        <v>7.8</v>
      </c>
      <c r="I271" s="410">
        <f t="shared" si="10"/>
        <v>7.8</v>
      </c>
    </row>
    <row r="272" spans="1:9" ht="14.25">
      <c r="A272" s="58" t="s">
        <v>7</v>
      </c>
      <c r="B272" s="374" t="s">
        <v>8</v>
      </c>
      <c r="C272" s="375"/>
      <c r="D272" s="375"/>
      <c r="E272" s="411"/>
      <c r="F272" s="408">
        <v>48</v>
      </c>
      <c r="G272" s="408">
        <v>11700</v>
      </c>
      <c r="H272" s="407">
        <f>F272*G272/12*4/1000</f>
        <v>187.2</v>
      </c>
      <c r="I272" s="410">
        <f t="shared" si="10"/>
        <v>187.2</v>
      </c>
    </row>
    <row r="273" spans="1:9" ht="14.25">
      <c r="A273" s="58" t="s">
        <v>7</v>
      </c>
      <c r="B273" s="374" t="s">
        <v>9</v>
      </c>
      <c r="C273" s="375"/>
      <c r="D273" s="375"/>
      <c r="E273" s="411"/>
      <c r="F273" s="408">
        <v>16</v>
      </c>
      <c r="G273" s="408">
        <v>11700</v>
      </c>
      <c r="H273" s="407">
        <f>F273*G273/12*4/1000</f>
        <v>62.4</v>
      </c>
      <c r="I273" s="410">
        <f t="shared" si="10"/>
        <v>62.4</v>
      </c>
    </row>
    <row r="274" spans="2:9" ht="14.25">
      <c r="B274" s="374" t="s">
        <v>10</v>
      </c>
      <c r="C274" s="375"/>
      <c r="D274" s="375"/>
      <c r="E274" s="411"/>
      <c r="F274" s="408">
        <v>2</v>
      </c>
      <c r="G274" s="408">
        <v>11700</v>
      </c>
      <c r="H274" s="407">
        <f>F274*G274/12*4/1000</f>
        <v>7.8</v>
      </c>
      <c r="I274" s="410">
        <f t="shared" si="10"/>
        <v>7.8</v>
      </c>
    </row>
    <row r="275" spans="2:9" ht="14.25">
      <c r="B275" s="390" t="s">
        <v>11</v>
      </c>
      <c r="C275" s="391"/>
      <c r="D275" s="391"/>
      <c r="E275" s="425">
        <f>SUM(E267:E274)</f>
        <v>737</v>
      </c>
      <c r="F275" s="422"/>
      <c r="G275" s="422"/>
      <c r="H275" s="425">
        <f>SUM(H267:H274)</f>
        <v>764.4</v>
      </c>
      <c r="I275" s="410">
        <f t="shared" si="10"/>
        <v>27.399999999999977</v>
      </c>
    </row>
    <row r="276" spans="1:9" ht="14.25">
      <c r="A276" s="394" t="s">
        <v>12</v>
      </c>
      <c r="B276" s="374" t="s">
        <v>13</v>
      </c>
      <c r="C276" s="375"/>
      <c r="D276" s="375"/>
      <c r="E276" s="411"/>
      <c r="F276" s="408"/>
      <c r="G276" s="408"/>
      <c r="H276" s="411"/>
      <c r="I276" s="410">
        <f t="shared" si="10"/>
        <v>0</v>
      </c>
    </row>
    <row r="277" spans="2:9" ht="14.25">
      <c r="B277" s="374" t="s">
        <v>14</v>
      </c>
      <c r="C277" s="375"/>
      <c r="D277" s="375"/>
      <c r="E277" s="411"/>
      <c r="F277" s="408"/>
      <c r="G277" s="408"/>
      <c r="H277" s="411">
        <v>164</v>
      </c>
      <c r="I277" s="410">
        <f t="shared" si="10"/>
        <v>164</v>
      </c>
    </row>
    <row r="278" spans="2:9" ht="14.25">
      <c r="B278" s="374" t="s">
        <v>15</v>
      </c>
      <c r="C278" s="375"/>
      <c r="D278" s="375"/>
      <c r="E278" s="411"/>
      <c r="F278" s="408"/>
      <c r="G278" s="408"/>
      <c r="H278" s="411">
        <v>39</v>
      </c>
      <c r="I278" s="410">
        <f aca="true" t="shared" si="11" ref="I278:I292">H278-E278</f>
        <v>39</v>
      </c>
    </row>
    <row r="279" spans="1:9" ht="14.25">
      <c r="A279" s="58" t="s">
        <v>16</v>
      </c>
      <c r="B279" s="374" t="s">
        <v>13</v>
      </c>
      <c r="C279" s="375"/>
      <c r="D279" s="375"/>
      <c r="E279" s="411"/>
      <c r="F279" s="408"/>
      <c r="G279" s="408"/>
      <c r="H279" s="411"/>
      <c r="I279" s="410">
        <f t="shared" si="11"/>
        <v>0</v>
      </c>
    </row>
    <row r="280" spans="2:9" ht="14.25">
      <c r="B280" s="374" t="s">
        <v>17</v>
      </c>
      <c r="C280" s="375"/>
      <c r="D280" s="375"/>
      <c r="E280" s="411"/>
      <c r="F280" s="408"/>
      <c r="G280" s="408"/>
      <c r="H280" s="411">
        <v>83</v>
      </c>
      <c r="I280" s="410">
        <f t="shared" si="11"/>
        <v>83</v>
      </c>
    </row>
    <row r="281" spans="2:9" ht="14.25">
      <c r="B281" s="374" t="s">
        <v>18</v>
      </c>
      <c r="C281" s="375"/>
      <c r="D281" s="375"/>
      <c r="E281" s="411"/>
      <c r="F281" s="408"/>
      <c r="G281" s="408"/>
      <c r="H281" s="411">
        <v>20</v>
      </c>
      <c r="I281" s="410">
        <f t="shared" si="11"/>
        <v>20</v>
      </c>
    </row>
    <row r="282" spans="1:9" ht="14.25">
      <c r="A282" s="387"/>
      <c r="B282" s="390" t="s">
        <v>13</v>
      </c>
      <c r="C282" s="391"/>
      <c r="D282" s="391"/>
      <c r="E282" s="425"/>
      <c r="F282" s="422"/>
      <c r="G282" s="422"/>
      <c r="H282" s="425">
        <f>SUM(H277:H281)</f>
        <v>306</v>
      </c>
      <c r="I282" s="410">
        <f t="shared" si="11"/>
        <v>306</v>
      </c>
    </row>
    <row r="283" spans="1:9" ht="14.25">
      <c r="A283" s="395"/>
      <c r="B283" s="396" t="s">
        <v>19</v>
      </c>
      <c r="C283" s="397"/>
      <c r="D283" s="397"/>
      <c r="E283" s="414">
        <f>SUM(E275,E282)</f>
        <v>737</v>
      </c>
      <c r="F283" s="426"/>
      <c r="G283" s="426"/>
      <c r="H283" s="414">
        <f>SUM(H275,H282)</f>
        <v>1070.4</v>
      </c>
      <c r="I283" s="410">
        <f t="shared" si="11"/>
        <v>333.4000000000001</v>
      </c>
    </row>
    <row r="284" spans="1:9" ht="15.75">
      <c r="A284" s="315"/>
      <c r="B284" s="398" t="s">
        <v>20</v>
      </c>
      <c r="C284" s="399"/>
      <c r="D284" s="399"/>
      <c r="E284" s="427">
        <f>SUM(E264,E283)</f>
        <v>190193</v>
      </c>
      <c r="F284" s="427"/>
      <c r="G284" s="427"/>
      <c r="H284" s="427">
        <f>SUM(H264,H283)</f>
        <v>195751.4</v>
      </c>
      <c r="I284" s="427">
        <f>SUM(I264,I283)</f>
        <v>5558.4</v>
      </c>
    </row>
    <row r="285" spans="2:9" ht="12.75">
      <c r="B285" s="374" t="s">
        <v>21</v>
      </c>
      <c r="C285" s="375"/>
      <c r="D285" s="375"/>
      <c r="E285" s="411">
        <v>125043</v>
      </c>
      <c r="F285" s="408"/>
      <c r="G285" s="408"/>
      <c r="H285" s="411">
        <v>122437</v>
      </c>
      <c r="I285" s="416">
        <f t="shared" si="11"/>
        <v>-2606</v>
      </c>
    </row>
    <row r="286" spans="2:9" ht="12.75">
      <c r="B286" s="374" t="s">
        <v>22</v>
      </c>
      <c r="C286" s="375"/>
      <c r="D286" s="375"/>
      <c r="E286" s="411">
        <v>17925</v>
      </c>
      <c r="F286" s="408"/>
      <c r="G286" s="408"/>
      <c r="H286" s="411">
        <v>68285</v>
      </c>
      <c r="I286" s="416">
        <f t="shared" si="11"/>
        <v>50360</v>
      </c>
    </row>
    <row r="287" spans="2:9" ht="14.25">
      <c r="B287" s="383"/>
      <c r="C287" s="375"/>
      <c r="D287" s="375"/>
      <c r="E287" s="411"/>
      <c r="F287" s="408"/>
      <c r="G287" s="408"/>
      <c r="H287" s="411"/>
      <c r="I287" s="410">
        <f t="shared" si="11"/>
        <v>0</v>
      </c>
    </row>
    <row r="288" spans="1:9" ht="15">
      <c r="A288" s="400"/>
      <c r="B288" s="401" t="s">
        <v>23</v>
      </c>
      <c r="C288" s="393"/>
      <c r="D288" s="393"/>
      <c r="E288" s="423">
        <f>SUM(E32,E77,E113,E283,E285,E286)</f>
        <v>144141.6</v>
      </c>
      <c r="F288" s="423">
        <f>SUM(F32,F77,F113,F283,F285,F286)</f>
        <v>44</v>
      </c>
      <c r="G288" s="423">
        <f>SUM(G32,G77,G113,G283,G285,G286)</f>
        <v>18800</v>
      </c>
      <c r="H288" s="423">
        <f>SUM(H32,H77,H113,H283,H285,H286)</f>
        <v>192264</v>
      </c>
      <c r="I288" s="423">
        <f>SUM(I32,I77,I113,I283,I285,I286)</f>
        <v>48122.4</v>
      </c>
    </row>
    <row r="289" spans="1:9" ht="15">
      <c r="A289" s="400"/>
      <c r="B289" s="401" t="s">
        <v>27</v>
      </c>
      <c r="C289" s="393">
        <f aca="true" t="shared" si="12" ref="C289:I289">+C288+C266</f>
        <v>0</v>
      </c>
      <c r="D289" s="393">
        <f t="shared" si="12"/>
        <v>0</v>
      </c>
      <c r="E289" s="423">
        <f t="shared" si="12"/>
        <v>581383.01</v>
      </c>
      <c r="F289" s="423">
        <f t="shared" si="12"/>
        <v>44</v>
      </c>
      <c r="G289" s="423">
        <f t="shared" si="12"/>
        <v>18800</v>
      </c>
      <c r="H289" s="423">
        <f t="shared" si="12"/>
        <v>621436.2986666667</v>
      </c>
      <c r="I289" s="423">
        <f t="shared" si="12"/>
        <v>40053.28866666664</v>
      </c>
    </row>
    <row r="290" spans="1:9" ht="15">
      <c r="A290" s="400"/>
      <c r="B290" s="401" t="s">
        <v>28</v>
      </c>
      <c r="C290" s="393"/>
      <c r="D290" s="393"/>
      <c r="E290" s="423">
        <v>27253</v>
      </c>
      <c r="F290" s="424"/>
      <c r="G290" s="424"/>
      <c r="H290" s="423">
        <v>33100</v>
      </c>
      <c r="I290" s="410">
        <f t="shared" si="11"/>
        <v>5847</v>
      </c>
    </row>
    <row r="291" spans="1:9" ht="15">
      <c r="A291" s="400"/>
      <c r="B291" s="401" t="s">
        <v>29</v>
      </c>
      <c r="C291" s="393"/>
      <c r="D291" s="393"/>
      <c r="E291" s="423">
        <v>0</v>
      </c>
      <c r="F291" s="424"/>
      <c r="G291" s="424"/>
      <c r="H291" s="423">
        <v>0</v>
      </c>
      <c r="I291" s="410">
        <f t="shared" si="11"/>
        <v>0</v>
      </c>
    </row>
    <row r="292" spans="1:9" ht="15">
      <c r="A292" s="400"/>
      <c r="B292" s="401" t="s">
        <v>30</v>
      </c>
      <c r="C292" s="393"/>
      <c r="D292" s="393"/>
      <c r="E292" s="423">
        <v>154912</v>
      </c>
      <c r="F292" s="424"/>
      <c r="G292" s="424"/>
      <c r="H292" s="423">
        <v>149320</v>
      </c>
      <c r="I292" s="410">
        <f t="shared" si="11"/>
        <v>-5592</v>
      </c>
    </row>
    <row r="293" spans="1:9" ht="15">
      <c r="A293" s="400"/>
      <c r="B293" s="402" t="s">
        <v>551</v>
      </c>
      <c r="C293" s="403">
        <f aca="true" t="shared" si="13" ref="C293:H293">SUM(C289:C292)</f>
        <v>0</v>
      </c>
      <c r="D293" s="403">
        <f t="shared" si="13"/>
        <v>0</v>
      </c>
      <c r="E293" s="423">
        <f t="shared" si="13"/>
        <v>763548.01</v>
      </c>
      <c r="F293" s="424">
        <f t="shared" si="13"/>
        <v>44</v>
      </c>
      <c r="G293" s="424">
        <f t="shared" si="13"/>
        <v>18800</v>
      </c>
      <c r="H293" s="423">
        <f t="shared" si="13"/>
        <v>803856.2986666667</v>
      </c>
      <c r="I293" s="423">
        <f>SUM(I289:I292)</f>
        <v>40308.28866666664</v>
      </c>
    </row>
    <row r="294" ht="14.25">
      <c r="I294" s="430"/>
    </row>
  </sheetData>
  <mergeCells count="7">
    <mergeCell ref="A1:I2"/>
    <mergeCell ref="B3:H3"/>
    <mergeCell ref="A4:A5"/>
    <mergeCell ref="B4:B5"/>
    <mergeCell ref="C4:E4"/>
    <mergeCell ref="F4:H4"/>
    <mergeCell ref="I4:I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&amp;L&amp;"Arial,Dőlt"Vámospércs Városi Önkormányzat&amp;R&amp;"Arial,Dőlt"6.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H3" sqref="H3"/>
    </sheetView>
  </sheetViews>
  <sheetFormatPr defaultColWidth="9.140625" defaultRowHeight="12.75"/>
  <cols>
    <col min="1" max="1" width="4.7109375" style="24" customWidth="1"/>
    <col min="2" max="2" width="4.00390625" style="24" customWidth="1"/>
    <col min="3" max="3" width="5.00390625" style="24" customWidth="1"/>
    <col min="4" max="4" width="57.140625" style="25" customWidth="1"/>
    <col min="5" max="5" width="16.7109375" style="57" customWidth="1"/>
    <col min="6" max="6" width="17.421875" style="57" customWidth="1"/>
    <col min="7" max="16384" width="8.00390625" style="24" customWidth="1"/>
  </cols>
  <sheetData>
    <row r="1" spans="1:6" ht="26.25" customHeight="1">
      <c r="A1" s="23"/>
      <c r="E1" s="26"/>
      <c r="F1" s="26"/>
    </row>
    <row r="2" spans="1:6" ht="27.75" customHeight="1">
      <c r="A2" s="629" t="s">
        <v>127</v>
      </c>
      <c r="B2" s="629"/>
      <c r="C2" s="629"/>
      <c r="D2" s="629"/>
      <c r="E2" s="629"/>
      <c r="F2" s="629"/>
    </row>
    <row r="3" spans="1:6" ht="44.25" customHeight="1" thickBot="1">
      <c r="A3" s="27"/>
      <c r="B3" s="27"/>
      <c r="C3" s="27"/>
      <c r="D3" s="28"/>
      <c r="E3" s="29"/>
      <c r="F3" s="73" t="s">
        <v>156</v>
      </c>
    </row>
    <row r="4" spans="1:6" s="30" customFormat="1" ht="12.75">
      <c r="A4" s="59" t="s">
        <v>128</v>
      </c>
      <c r="B4" s="129"/>
      <c r="C4" s="138"/>
      <c r="D4" s="66"/>
      <c r="E4" s="67" t="s">
        <v>129</v>
      </c>
      <c r="F4" s="68" t="s">
        <v>129</v>
      </c>
    </row>
    <row r="5" spans="1:6" s="30" customFormat="1" ht="15.75">
      <c r="A5" s="60" t="s">
        <v>130</v>
      </c>
      <c r="B5" s="61" t="s">
        <v>90</v>
      </c>
      <c r="C5" s="139" t="s">
        <v>131</v>
      </c>
      <c r="D5" s="69" t="s">
        <v>132</v>
      </c>
      <c r="E5" s="70" t="s">
        <v>133</v>
      </c>
      <c r="F5" s="71" t="s">
        <v>133</v>
      </c>
    </row>
    <row r="6" spans="1:6" s="30" customFormat="1" ht="17.25" customHeight="1" thickBot="1">
      <c r="A6" s="60" t="s">
        <v>89</v>
      </c>
      <c r="B6" s="61"/>
      <c r="C6" s="139"/>
      <c r="D6" s="72"/>
      <c r="E6" s="70" t="s">
        <v>134</v>
      </c>
      <c r="F6" s="71" t="s">
        <v>135</v>
      </c>
    </row>
    <row r="7" spans="1:6" s="35" customFormat="1" ht="36" customHeight="1" thickBot="1">
      <c r="A7" s="31" t="s">
        <v>88</v>
      </c>
      <c r="B7" s="130"/>
      <c r="C7" s="140"/>
      <c r="D7" s="32" t="s">
        <v>136</v>
      </c>
      <c r="E7" s="33"/>
      <c r="F7" s="34"/>
    </row>
    <row r="8" spans="1:6" s="35" customFormat="1" ht="30.75" customHeight="1">
      <c r="A8" s="62"/>
      <c r="B8" s="131" t="s">
        <v>100</v>
      </c>
      <c r="C8" s="141"/>
      <c r="D8" s="36" t="s">
        <v>137</v>
      </c>
      <c r="E8" s="37"/>
      <c r="F8" s="38"/>
    </row>
    <row r="9" spans="1:6" s="42" customFormat="1" ht="19.5" customHeight="1">
      <c r="A9" s="63"/>
      <c r="B9" s="132"/>
      <c r="C9" s="63" t="s">
        <v>100</v>
      </c>
      <c r="D9" s="39" t="s">
        <v>95</v>
      </c>
      <c r="E9" s="40">
        <f>SUM(E10:E12)</f>
        <v>45</v>
      </c>
      <c r="F9" s="41">
        <f>SUM(F10:F12)</f>
        <v>45.5</v>
      </c>
    </row>
    <row r="10" spans="1:6" s="46" customFormat="1" ht="19.5" customHeight="1">
      <c r="A10" s="64"/>
      <c r="B10" s="133"/>
      <c r="C10" s="64"/>
      <c r="D10" s="43" t="s">
        <v>138</v>
      </c>
      <c r="E10" s="44">
        <v>33</v>
      </c>
      <c r="F10" s="45">
        <v>34</v>
      </c>
    </row>
    <row r="11" spans="1:6" s="46" customFormat="1" ht="19.5" customHeight="1">
      <c r="A11" s="64"/>
      <c r="B11" s="133"/>
      <c r="C11" s="64"/>
      <c r="D11" s="43" t="s">
        <v>139</v>
      </c>
      <c r="E11" s="44">
        <v>1</v>
      </c>
      <c r="F11" s="45">
        <v>0</v>
      </c>
    </row>
    <row r="12" spans="1:6" s="47" customFormat="1" ht="19.5" customHeight="1">
      <c r="A12" s="64"/>
      <c r="B12" s="133"/>
      <c r="C12" s="64"/>
      <c r="D12" s="43" t="s">
        <v>140</v>
      </c>
      <c r="E12" s="44">
        <v>11</v>
      </c>
      <c r="F12" s="45">
        <v>11.5</v>
      </c>
    </row>
    <row r="13" spans="1:6" s="50" customFormat="1" ht="34.5" customHeight="1">
      <c r="A13" s="65"/>
      <c r="B13" s="134" t="s">
        <v>100</v>
      </c>
      <c r="C13" s="281" t="s">
        <v>106</v>
      </c>
      <c r="D13" s="282" t="s">
        <v>214</v>
      </c>
      <c r="E13" s="48">
        <v>78</v>
      </c>
      <c r="F13" s="49">
        <f>46+1+1+8+4.5+16</f>
        <v>76.5</v>
      </c>
    </row>
    <row r="14" spans="1:6" s="46" customFormat="1" ht="33.75" customHeight="1">
      <c r="A14" s="63"/>
      <c r="B14" s="135"/>
      <c r="C14" s="142" t="s">
        <v>148</v>
      </c>
      <c r="D14" s="282" t="s">
        <v>215</v>
      </c>
      <c r="E14" s="51">
        <v>39</v>
      </c>
      <c r="F14" s="52">
        <f>27+6+6</f>
        <v>39</v>
      </c>
    </row>
    <row r="15" spans="1:6" s="47" customFormat="1" ht="23.25" customHeight="1">
      <c r="A15" s="64"/>
      <c r="B15" s="136"/>
      <c r="C15" s="276" t="s">
        <v>149</v>
      </c>
      <c r="D15" s="277" t="s">
        <v>212</v>
      </c>
      <c r="E15" s="53">
        <v>16</v>
      </c>
      <c r="F15" s="54">
        <f>7+4</f>
        <v>11</v>
      </c>
    </row>
    <row r="16" spans="1:6" s="47" customFormat="1" ht="23.25" customHeight="1">
      <c r="A16" s="64"/>
      <c r="B16" s="136"/>
      <c r="C16" s="276" t="s">
        <v>150</v>
      </c>
      <c r="D16" s="277" t="s">
        <v>216</v>
      </c>
      <c r="E16" s="53">
        <v>10</v>
      </c>
      <c r="F16" s="54">
        <v>14</v>
      </c>
    </row>
    <row r="17" spans="1:6" s="42" customFormat="1" ht="23.25" customHeight="1">
      <c r="A17" s="63"/>
      <c r="B17" s="135"/>
      <c r="C17" s="276" t="s">
        <v>151</v>
      </c>
      <c r="D17" s="278" t="s">
        <v>213</v>
      </c>
      <c r="E17" s="51">
        <v>4</v>
      </c>
      <c r="F17" s="41">
        <v>4</v>
      </c>
    </row>
    <row r="18" spans="1:6" s="42" customFormat="1" ht="23.25" customHeight="1" thickBot="1">
      <c r="A18" s="63"/>
      <c r="B18" s="135"/>
      <c r="C18" s="276" t="s">
        <v>152</v>
      </c>
      <c r="D18" s="279" t="s">
        <v>217</v>
      </c>
      <c r="E18" s="40">
        <v>15</v>
      </c>
      <c r="F18" s="41">
        <f>6+3+4</f>
        <v>13</v>
      </c>
    </row>
    <row r="19" spans="1:6" s="50" customFormat="1" ht="36.75" customHeight="1" thickBot="1">
      <c r="A19" s="55" t="s">
        <v>88</v>
      </c>
      <c r="B19" s="137"/>
      <c r="C19" s="143"/>
      <c r="D19" s="280" t="s">
        <v>141</v>
      </c>
      <c r="E19" s="56">
        <f>SUM(E9,E13:E18)</f>
        <v>207</v>
      </c>
      <c r="F19" s="56">
        <f>SUM(F9,F13:F18)</f>
        <v>203</v>
      </c>
    </row>
  </sheetData>
  <mergeCells count="1">
    <mergeCell ref="A2:F2"/>
  </mergeCells>
  <printOptions horizontalCentered="1"/>
  <pageMargins left="0.55" right="0.58" top="0.88" bottom="0.2362204724409449" header="0.5905511811023623" footer="0.5118110236220472"/>
  <pageSetup horizontalDpi="600" verticalDpi="600" orientation="portrait" paperSize="9" scale="85" r:id="rId1"/>
  <headerFooter alignWithMargins="0">
    <oddHeader>&amp;L&amp;"Arial,Félkövér dőlt"&amp;11Vámospércs Városi Önkormányzata&amp;R&amp;"Arial,Félkövér dőlt"&amp;11 7. sz. melléket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C14" sqref="C14"/>
    </sheetView>
  </sheetViews>
  <sheetFormatPr defaultColWidth="9.140625" defaultRowHeight="12.75"/>
  <cols>
    <col min="1" max="1" width="34.421875" style="113" customWidth="1"/>
    <col min="2" max="2" width="8.140625" style="113" customWidth="1"/>
    <col min="3" max="3" width="8.28125" style="113" customWidth="1"/>
    <col min="4" max="4" width="7.00390625" style="113" customWidth="1"/>
    <col min="5" max="5" width="8.28125" style="113" customWidth="1"/>
    <col min="6" max="7" width="8.00390625" style="113" customWidth="1"/>
    <col min="8" max="8" width="11.00390625" style="115" customWidth="1"/>
    <col min="9" max="9" width="17.140625" style="115" customWidth="1"/>
    <col min="10" max="10" width="16.28125" style="115" customWidth="1"/>
    <col min="11" max="16384" width="9.140625" style="115" customWidth="1"/>
  </cols>
  <sheetData>
    <row r="2" spans="1:8" s="112" customFormat="1" ht="20.25" customHeight="1">
      <c r="A2" s="630" t="s">
        <v>243</v>
      </c>
      <c r="B2" s="630"/>
      <c r="C2" s="630"/>
      <c r="D2" s="630"/>
      <c r="E2" s="630"/>
      <c r="F2" s="630"/>
      <c r="G2" s="630"/>
      <c r="H2" s="630"/>
    </row>
    <row r="3" ht="20.25" customHeight="1" thickBot="1">
      <c r="H3" s="114" t="s">
        <v>99</v>
      </c>
    </row>
    <row r="4" spans="1:8" s="116" customFormat="1" ht="24" customHeight="1">
      <c r="A4" s="631" t="s">
        <v>166</v>
      </c>
      <c r="B4" s="632"/>
      <c r="C4" s="633" t="s">
        <v>92</v>
      </c>
      <c r="D4" s="633" t="s">
        <v>188</v>
      </c>
      <c r="E4" s="633" t="s">
        <v>144</v>
      </c>
      <c r="F4" s="633" t="s">
        <v>219</v>
      </c>
      <c r="G4" s="633" t="s">
        <v>244</v>
      </c>
      <c r="H4" s="635" t="s">
        <v>155</v>
      </c>
    </row>
    <row r="5" spans="1:8" s="119" customFormat="1" ht="30" customHeight="1" thickBot="1">
      <c r="A5" s="117" t="s">
        <v>159</v>
      </c>
      <c r="B5" s="118" t="s">
        <v>147</v>
      </c>
      <c r="C5" s="634"/>
      <c r="D5" s="634"/>
      <c r="E5" s="634"/>
      <c r="F5" s="634"/>
      <c r="G5" s="634"/>
      <c r="H5" s="636"/>
    </row>
    <row r="6" spans="1:8" ht="27.75" customHeight="1">
      <c r="A6" s="104" t="s">
        <v>167</v>
      </c>
      <c r="B6" s="105" t="s">
        <v>168</v>
      </c>
      <c r="C6" s="106"/>
      <c r="D6" s="106"/>
      <c r="E6" s="106">
        <v>945</v>
      </c>
      <c r="F6" s="106"/>
      <c r="G6" s="106"/>
      <c r="H6" s="120">
        <f aca="true" t="shared" si="0" ref="H6:H22">SUM(C6:G6)</f>
        <v>945</v>
      </c>
    </row>
    <row r="7" spans="1:8" ht="24.75" customHeight="1">
      <c r="A7" s="107" t="s">
        <v>169</v>
      </c>
      <c r="B7" s="108">
        <v>221214</v>
      </c>
      <c r="C7" s="109">
        <v>240</v>
      </c>
      <c r="D7" s="109">
        <v>48</v>
      </c>
      <c r="E7" s="109">
        <v>1600</v>
      </c>
      <c r="F7" s="109"/>
      <c r="G7" s="109"/>
      <c r="H7" s="121">
        <f t="shared" si="0"/>
        <v>1888</v>
      </c>
    </row>
    <row r="8" spans="1:8" ht="15.75" customHeight="1">
      <c r="A8" s="107" t="s">
        <v>170</v>
      </c>
      <c r="B8" s="108">
        <v>452014</v>
      </c>
      <c r="C8" s="109"/>
      <c r="D8" s="109"/>
      <c r="E8" s="109"/>
      <c r="F8" s="109"/>
      <c r="G8" s="109"/>
      <c r="H8" s="121">
        <f t="shared" si="0"/>
        <v>0</v>
      </c>
    </row>
    <row r="9" spans="1:8" ht="15.75" customHeight="1">
      <c r="A9" s="107" t="s">
        <v>171</v>
      </c>
      <c r="B9" s="108">
        <v>452025</v>
      </c>
      <c r="C9" s="109"/>
      <c r="D9" s="109"/>
      <c r="E9" s="109"/>
      <c r="F9" s="109"/>
      <c r="G9" s="109"/>
      <c r="H9" s="121">
        <f t="shared" si="0"/>
        <v>0</v>
      </c>
    </row>
    <row r="10" spans="1:8" ht="17.25" customHeight="1">
      <c r="A10" s="107" t="s">
        <v>172</v>
      </c>
      <c r="B10" s="108">
        <v>631211</v>
      </c>
      <c r="C10" s="109"/>
      <c r="D10" s="109"/>
      <c r="E10" s="109">
        <v>2400</v>
      </c>
      <c r="F10" s="109"/>
      <c r="G10" s="109"/>
      <c r="H10" s="121">
        <f t="shared" si="0"/>
        <v>2400</v>
      </c>
    </row>
    <row r="11" spans="1:8" ht="26.25" customHeight="1">
      <c r="A11" s="107" t="s">
        <v>218</v>
      </c>
      <c r="B11" s="108">
        <v>701015</v>
      </c>
      <c r="C11" s="109"/>
      <c r="D11" s="109"/>
      <c r="E11" s="109">
        <v>3025</v>
      </c>
      <c r="F11" s="109"/>
      <c r="G11" s="109"/>
      <c r="H11" s="121">
        <f t="shared" si="0"/>
        <v>3025</v>
      </c>
    </row>
    <row r="12" spans="1:8" ht="31.5" customHeight="1">
      <c r="A12" s="107" t="s">
        <v>173</v>
      </c>
      <c r="B12" s="108">
        <v>751153</v>
      </c>
      <c r="C12" s="110">
        <v>118481</v>
      </c>
      <c r="D12" s="110">
        <v>36121</v>
      </c>
      <c r="E12" s="110">
        <v>61988</v>
      </c>
      <c r="F12" s="111">
        <v>13972</v>
      </c>
      <c r="G12" s="111">
        <v>5000</v>
      </c>
      <c r="H12" s="121">
        <f t="shared" si="0"/>
        <v>235562</v>
      </c>
    </row>
    <row r="13" spans="1:8" ht="31.5" customHeight="1">
      <c r="A13" s="107" t="s">
        <v>252</v>
      </c>
      <c r="B13" s="108"/>
      <c r="C13" s="110">
        <v>16800</v>
      </c>
      <c r="D13" s="110">
        <v>5476</v>
      </c>
      <c r="E13" s="110"/>
      <c r="F13" s="111"/>
      <c r="G13" s="111"/>
      <c r="H13" s="121">
        <f t="shared" si="0"/>
        <v>22276</v>
      </c>
    </row>
    <row r="14" spans="1:8" ht="31.5" customHeight="1">
      <c r="A14" s="107" t="s">
        <v>220</v>
      </c>
      <c r="B14" s="108">
        <v>751791</v>
      </c>
      <c r="C14" s="110">
        <v>61258</v>
      </c>
      <c r="D14" s="110">
        <v>10620</v>
      </c>
      <c r="E14" s="110"/>
      <c r="F14" s="111"/>
      <c r="G14" s="111"/>
      <c r="H14" s="121">
        <f t="shared" si="0"/>
        <v>71878</v>
      </c>
    </row>
    <row r="15" spans="1:8" ht="29.25" customHeight="1">
      <c r="A15" s="107" t="s">
        <v>174</v>
      </c>
      <c r="B15" s="108">
        <v>751845</v>
      </c>
      <c r="C15" s="109">
        <v>8950</v>
      </c>
      <c r="D15" s="109">
        <v>3045</v>
      </c>
      <c r="E15" s="109">
        <v>3045</v>
      </c>
      <c r="F15" s="109"/>
      <c r="G15" s="109"/>
      <c r="H15" s="121">
        <f t="shared" si="0"/>
        <v>15040</v>
      </c>
    </row>
    <row r="16" spans="1:8" ht="15.75" customHeight="1">
      <c r="A16" s="107" t="s">
        <v>175</v>
      </c>
      <c r="B16" s="108">
        <v>751878</v>
      </c>
      <c r="C16" s="109"/>
      <c r="D16" s="109"/>
      <c r="E16" s="109">
        <v>14040</v>
      </c>
      <c r="F16" s="109"/>
      <c r="G16" s="109"/>
      <c r="H16" s="121">
        <f t="shared" si="0"/>
        <v>14040</v>
      </c>
    </row>
    <row r="17" spans="1:8" ht="15.75" customHeight="1">
      <c r="A17" s="107" t="s">
        <v>176</v>
      </c>
      <c r="B17" s="108">
        <v>751922</v>
      </c>
      <c r="C17" s="109"/>
      <c r="D17" s="109"/>
      <c r="E17" s="109"/>
      <c r="F17" s="109">
        <v>5588</v>
      </c>
      <c r="G17" s="109"/>
      <c r="H17" s="121">
        <f t="shared" si="0"/>
        <v>5588</v>
      </c>
    </row>
    <row r="18" spans="1:8" ht="24.75" customHeight="1">
      <c r="A18" s="107" t="s">
        <v>177</v>
      </c>
      <c r="B18" s="108">
        <v>751999</v>
      </c>
      <c r="C18" s="109"/>
      <c r="D18" s="109"/>
      <c r="E18" s="109"/>
      <c r="F18" s="109">
        <v>62861</v>
      </c>
      <c r="G18" s="109"/>
      <c r="H18" s="121">
        <f t="shared" si="0"/>
        <v>62861</v>
      </c>
    </row>
    <row r="19" spans="1:8" ht="15.75" customHeight="1">
      <c r="A19" s="107" t="s">
        <v>178</v>
      </c>
      <c r="B19" s="108">
        <v>852018</v>
      </c>
      <c r="C19" s="109">
        <v>40</v>
      </c>
      <c r="D19" s="109">
        <v>11</v>
      </c>
      <c r="E19" s="109">
        <v>420</v>
      </c>
      <c r="F19" s="109"/>
      <c r="G19" s="109"/>
      <c r="H19" s="121">
        <f t="shared" si="0"/>
        <v>471</v>
      </c>
    </row>
    <row r="20" spans="1:8" ht="15.75" customHeight="1">
      <c r="A20" s="107" t="s">
        <v>179</v>
      </c>
      <c r="B20" s="108">
        <v>853311</v>
      </c>
      <c r="C20" s="109"/>
      <c r="D20" s="109">
        <v>4539</v>
      </c>
      <c r="E20" s="109"/>
      <c r="F20" s="109"/>
      <c r="G20" s="109">
        <v>149890</v>
      </c>
      <c r="H20" s="121">
        <f t="shared" si="0"/>
        <v>154429</v>
      </c>
    </row>
    <row r="21" spans="1:8" ht="25.5" customHeight="1">
      <c r="A21" s="107" t="s">
        <v>180</v>
      </c>
      <c r="B21" s="108">
        <v>853333</v>
      </c>
      <c r="C21" s="109"/>
      <c r="D21" s="109"/>
      <c r="E21" s="109"/>
      <c r="F21" s="109"/>
      <c r="G21" s="109"/>
      <c r="H21" s="121">
        <f t="shared" si="0"/>
        <v>0</v>
      </c>
    </row>
    <row r="22" spans="1:8" ht="15.75" customHeight="1">
      <c r="A22" s="107" t="s">
        <v>181</v>
      </c>
      <c r="B22" s="108">
        <v>853344</v>
      </c>
      <c r="C22" s="109"/>
      <c r="D22" s="109"/>
      <c r="E22" s="109"/>
      <c r="F22" s="109"/>
      <c r="G22" s="109">
        <v>16355</v>
      </c>
      <c r="H22" s="121">
        <f t="shared" si="0"/>
        <v>16355</v>
      </c>
    </row>
    <row r="23" spans="1:8" ht="15.75" customHeight="1">
      <c r="A23" s="107" t="s">
        <v>182</v>
      </c>
      <c r="B23" s="108">
        <v>901116</v>
      </c>
      <c r="C23" s="109"/>
      <c r="D23" s="109"/>
      <c r="E23" s="109">
        <v>888</v>
      </c>
      <c r="F23" s="109"/>
      <c r="G23" s="109"/>
      <c r="H23" s="121">
        <f aca="true" t="shared" si="1" ref="H23:H28">SUM(C23:G23)</f>
        <v>888</v>
      </c>
    </row>
    <row r="24" spans="1:8" ht="15.75" customHeight="1">
      <c r="A24" s="107" t="s">
        <v>183</v>
      </c>
      <c r="B24" s="108">
        <v>902113</v>
      </c>
      <c r="C24" s="109"/>
      <c r="D24" s="109"/>
      <c r="E24" s="109">
        <v>1020</v>
      </c>
      <c r="F24" s="109"/>
      <c r="G24" s="109"/>
      <c r="H24" s="121">
        <f t="shared" si="1"/>
        <v>1020</v>
      </c>
    </row>
    <row r="25" spans="1:8" ht="15.75" customHeight="1">
      <c r="A25" s="107" t="s">
        <v>221</v>
      </c>
      <c r="B25" s="108">
        <v>921400</v>
      </c>
      <c r="C25" s="109"/>
      <c r="D25" s="109"/>
      <c r="E25" s="109">
        <v>2500</v>
      </c>
      <c r="F25" s="109"/>
      <c r="G25" s="109"/>
      <c r="H25" s="121">
        <f t="shared" si="1"/>
        <v>2500</v>
      </c>
    </row>
    <row r="26" spans="1:8" ht="26.25" customHeight="1">
      <c r="A26" s="107" t="s">
        <v>222</v>
      </c>
      <c r="B26" s="108">
        <v>924014</v>
      </c>
      <c r="C26" s="109">
        <v>3933</v>
      </c>
      <c r="D26" s="109">
        <v>1326</v>
      </c>
      <c r="E26" s="109">
        <v>3158</v>
      </c>
      <c r="F26" s="109"/>
      <c r="G26" s="109"/>
      <c r="H26" s="121">
        <f t="shared" si="1"/>
        <v>8417</v>
      </c>
    </row>
    <row r="27" spans="1:8" ht="26.25" customHeight="1">
      <c r="A27" s="107" t="s">
        <v>223</v>
      </c>
      <c r="B27" s="108">
        <v>930316</v>
      </c>
      <c r="C27" s="109"/>
      <c r="D27" s="109"/>
      <c r="E27" s="109">
        <v>120</v>
      </c>
      <c r="F27" s="109"/>
      <c r="G27" s="109"/>
      <c r="H27" s="121">
        <f t="shared" si="1"/>
        <v>120</v>
      </c>
    </row>
    <row r="28" spans="1:8" ht="25.5" customHeight="1">
      <c r="A28" s="107" t="s">
        <v>224</v>
      </c>
      <c r="B28" s="108">
        <v>930932</v>
      </c>
      <c r="C28" s="109"/>
      <c r="D28" s="109"/>
      <c r="E28" s="109">
        <v>630</v>
      </c>
      <c r="F28" s="109"/>
      <c r="G28" s="109"/>
      <c r="H28" s="121">
        <f t="shared" si="1"/>
        <v>630</v>
      </c>
    </row>
    <row r="29" spans="1:8" ht="18" customHeight="1" thickBot="1">
      <c r="A29" s="122" t="s">
        <v>141</v>
      </c>
      <c r="B29" s="123"/>
      <c r="C29" s="124">
        <f aca="true" t="shared" si="2" ref="C29:H29">SUM(C6:C12,C14:C28)</f>
        <v>192902</v>
      </c>
      <c r="D29" s="124">
        <f t="shared" si="2"/>
        <v>55710</v>
      </c>
      <c r="E29" s="124">
        <f t="shared" si="2"/>
        <v>95779</v>
      </c>
      <c r="F29" s="124">
        <f t="shared" si="2"/>
        <v>82421</v>
      </c>
      <c r="G29" s="124">
        <f t="shared" si="2"/>
        <v>171245</v>
      </c>
      <c r="H29" s="124">
        <f t="shared" si="2"/>
        <v>598057</v>
      </c>
    </row>
  </sheetData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/>
  <pageMargins left="0.43" right="0.38" top="1" bottom="1" header="0.5" footer="0.5"/>
  <pageSetup horizontalDpi="600" verticalDpi="600" orientation="portrait" paperSize="9" r:id="rId1"/>
  <headerFooter alignWithMargins="0">
    <oddHeader>&amp;L&amp;"Arial,Félkövér dőlt"Vámospércs Város Önkormányzata&amp;R&amp;"Arial,Félkövér dőlt"8.sz.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7:H22"/>
  <sheetViews>
    <sheetView workbookViewId="0" topLeftCell="A8">
      <selection activeCell="B19" sqref="B19"/>
    </sheetView>
  </sheetViews>
  <sheetFormatPr defaultColWidth="9.140625" defaultRowHeight="12.75"/>
  <cols>
    <col min="1" max="1" width="32.8515625" style="113" customWidth="1"/>
    <col min="2" max="2" width="8.140625" style="113" customWidth="1"/>
    <col min="3" max="3" width="8.28125" style="113" customWidth="1"/>
    <col min="4" max="4" width="8.00390625" style="113" customWidth="1"/>
    <col min="5" max="5" width="8.28125" style="113" customWidth="1"/>
    <col min="6" max="7" width="8.00390625" style="113" customWidth="1"/>
    <col min="8" max="8" width="11.00390625" style="115" customWidth="1"/>
  </cols>
  <sheetData>
    <row r="7" spans="1:8" ht="43.5" customHeight="1">
      <c r="A7" s="637" t="s">
        <v>251</v>
      </c>
      <c r="B7" s="637"/>
      <c r="C7" s="637"/>
      <c r="D7" s="637"/>
      <c r="E7" s="637"/>
      <c r="F7" s="637"/>
      <c r="G7" s="637"/>
      <c r="H7" s="637"/>
    </row>
    <row r="8" spans="1:8" ht="15.75" customHeight="1">
      <c r="A8" s="291"/>
      <c r="B8" s="291"/>
      <c r="C8" s="291"/>
      <c r="D8" s="291"/>
      <c r="E8" s="291"/>
      <c r="F8" s="291"/>
      <c r="G8" s="291"/>
      <c r="H8" s="291"/>
    </row>
    <row r="9" spans="1:8" ht="15.75" customHeight="1">
      <c r="A9" s="291"/>
      <c r="B9" s="291"/>
      <c r="C9" s="291"/>
      <c r="D9" s="291"/>
      <c r="E9" s="291"/>
      <c r="F9" s="291"/>
      <c r="G9" s="291"/>
      <c r="H9" s="291"/>
    </row>
    <row r="10" ht="14.25" thickBot="1">
      <c r="H10" s="114" t="s">
        <v>99</v>
      </c>
    </row>
    <row r="11" spans="1:8" ht="12.75" customHeight="1">
      <c r="A11" s="631" t="s">
        <v>166</v>
      </c>
      <c r="B11" s="632"/>
      <c r="C11" s="633" t="s">
        <v>246</v>
      </c>
      <c r="D11" s="633" t="s">
        <v>245</v>
      </c>
      <c r="E11" s="633" t="s">
        <v>247</v>
      </c>
      <c r="F11" s="633" t="s">
        <v>248</v>
      </c>
      <c r="G11" s="633" t="s">
        <v>249</v>
      </c>
      <c r="H11" s="635" t="s">
        <v>155</v>
      </c>
    </row>
    <row r="12" spans="1:8" ht="23.25" customHeight="1" thickBot="1">
      <c r="A12" s="117" t="s">
        <v>159</v>
      </c>
      <c r="B12" s="118" t="s">
        <v>147</v>
      </c>
      <c r="C12" s="634"/>
      <c r="D12" s="634"/>
      <c r="E12" s="634"/>
      <c r="F12" s="634"/>
      <c r="G12" s="634"/>
      <c r="H12" s="636"/>
    </row>
    <row r="13" spans="1:8" ht="32.25" customHeight="1">
      <c r="A13" s="104" t="s">
        <v>167</v>
      </c>
      <c r="B13" s="105" t="s">
        <v>168</v>
      </c>
      <c r="C13" s="106">
        <v>66</v>
      </c>
      <c r="D13" s="106"/>
      <c r="E13" s="106"/>
      <c r="F13" s="106"/>
      <c r="G13" s="106"/>
      <c r="H13" s="120">
        <f aca="true" t="shared" si="0" ref="H13:H22">SUM(C13:G13)</f>
        <v>66</v>
      </c>
    </row>
    <row r="14" spans="1:8" ht="32.25" customHeight="1">
      <c r="A14" s="107" t="s">
        <v>169</v>
      </c>
      <c r="B14" s="108">
        <v>221214</v>
      </c>
      <c r="C14" s="109">
        <v>761</v>
      </c>
      <c r="D14" s="109"/>
      <c r="E14" s="109"/>
      <c r="F14" s="109"/>
      <c r="G14" s="109"/>
      <c r="H14" s="121">
        <f t="shared" si="0"/>
        <v>761</v>
      </c>
    </row>
    <row r="15" spans="1:8" ht="32.25" customHeight="1">
      <c r="A15" s="107" t="s">
        <v>218</v>
      </c>
      <c r="B15" s="108">
        <v>701015</v>
      </c>
      <c r="C15" s="109">
        <v>3730</v>
      </c>
      <c r="D15" s="109"/>
      <c r="E15" s="109"/>
      <c r="F15" s="109"/>
      <c r="G15" s="109"/>
      <c r="H15" s="121">
        <f t="shared" si="0"/>
        <v>3730</v>
      </c>
    </row>
    <row r="16" spans="1:8" ht="32.25" customHeight="1">
      <c r="A16" s="107" t="s">
        <v>173</v>
      </c>
      <c r="B16" s="108">
        <v>751153</v>
      </c>
      <c r="C16" s="110">
        <v>7648</v>
      </c>
      <c r="D16" s="110"/>
      <c r="E16" s="110"/>
      <c r="F16" s="111"/>
      <c r="G16" s="111"/>
      <c r="H16" s="121">
        <f t="shared" si="0"/>
        <v>7648</v>
      </c>
    </row>
    <row r="17" spans="1:8" ht="32.25" customHeight="1">
      <c r="A17" s="107" t="s">
        <v>174</v>
      </c>
      <c r="B17" s="108">
        <v>751845</v>
      </c>
      <c r="C17" s="109">
        <v>2640</v>
      </c>
      <c r="D17" s="109"/>
      <c r="E17" s="109"/>
      <c r="F17" s="109"/>
      <c r="G17" s="109"/>
      <c r="H17" s="121">
        <f t="shared" si="0"/>
        <v>2640</v>
      </c>
    </row>
    <row r="18" spans="1:8" ht="32.25" customHeight="1">
      <c r="A18" s="107" t="s">
        <v>176</v>
      </c>
      <c r="B18" s="108">
        <v>751922</v>
      </c>
      <c r="C18" s="109"/>
      <c r="D18" s="109">
        <v>281420</v>
      </c>
      <c r="E18" s="109"/>
      <c r="F18" s="109">
        <v>320</v>
      </c>
      <c r="G18" s="109"/>
      <c r="H18" s="121">
        <f t="shared" si="0"/>
        <v>281740</v>
      </c>
    </row>
    <row r="19" spans="1:8" ht="32.25" customHeight="1">
      <c r="A19" s="107" t="s">
        <v>250</v>
      </c>
      <c r="B19" s="108">
        <v>751966</v>
      </c>
      <c r="C19" s="109"/>
      <c r="D19" s="109"/>
      <c r="E19" s="109">
        <v>284826</v>
      </c>
      <c r="F19" s="109"/>
      <c r="G19" s="109"/>
      <c r="H19" s="121"/>
    </row>
    <row r="20" spans="1:8" ht="32.25" customHeight="1">
      <c r="A20" s="107" t="s">
        <v>222</v>
      </c>
      <c r="B20" s="108">
        <v>924014</v>
      </c>
      <c r="C20" s="109">
        <v>426</v>
      </c>
      <c r="D20" s="109"/>
      <c r="E20" s="109"/>
      <c r="F20" s="109"/>
      <c r="G20" s="109"/>
      <c r="H20" s="121">
        <f t="shared" si="0"/>
        <v>426</v>
      </c>
    </row>
    <row r="21" spans="1:8" ht="32.25" customHeight="1">
      <c r="A21" s="107" t="s">
        <v>224</v>
      </c>
      <c r="B21" s="108">
        <v>930932</v>
      </c>
      <c r="C21" s="109">
        <v>320</v>
      </c>
      <c r="D21" s="109"/>
      <c r="E21" s="109"/>
      <c r="F21" s="109"/>
      <c r="G21" s="109"/>
      <c r="H21" s="121">
        <f t="shared" si="0"/>
        <v>320</v>
      </c>
    </row>
    <row r="22" spans="1:8" ht="32.25" customHeight="1" thickBot="1">
      <c r="A22" s="122" t="s">
        <v>141</v>
      </c>
      <c r="B22" s="123"/>
      <c r="C22" s="124">
        <f>SUM(C13:C21)</f>
        <v>15591</v>
      </c>
      <c r="D22" s="124">
        <f>SUM(D13:D21)</f>
        <v>281420</v>
      </c>
      <c r="E22" s="124">
        <f>SUM(E13:E21)</f>
        <v>284826</v>
      </c>
      <c r="F22" s="124">
        <f>SUM(F13:F21)</f>
        <v>320</v>
      </c>
      <c r="G22" s="124">
        <f>SUM(G13:G21)</f>
        <v>0</v>
      </c>
      <c r="H22" s="125">
        <f t="shared" si="0"/>
        <v>582157</v>
      </c>
    </row>
  </sheetData>
  <mergeCells count="8">
    <mergeCell ref="A7:H7"/>
    <mergeCell ref="A11:B11"/>
    <mergeCell ref="C11:C12"/>
    <mergeCell ref="D11:D12"/>
    <mergeCell ref="E11:E12"/>
    <mergeCell ref="F11:F12"/>
    <mergeCell ref="G11:G12"/>
    <mergeCell ref="H11:H12"/>
  </mergeCells>
  <printOptions/>
  <pageMargins left="0.75" right="0.75" top="1" bottom="1" header="0.5" footer="0.5"/>
  <pageSetup horizontalDpi="300" verticalDpi="300" orientation="portrait" paperSize="9" scale="93" r:id="rId1"/>
  <headerFooter alignWithMargins="0">
    <oddHeader>&amp;L&amp;"Arial,Dőlt"Vámospércs Városi Önkormányzat&amp;R&amp;"Arial,Dőlt"9.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M24" sqref="M24"/>
    </sheetView>
  </sheetViews>
  <sheetFormatPr defaultColWidth="9.140625" defaultRowHeight="12.75"/>
  <cols>
    <col min="1" max="1" width="27.28125" style="58" customWidth="1"/>
    <col min="2" max="14" width="7.57421875" style="58" customWidth="1"/>
    <col min="17" max="17" width="9.140625" style="297" customWidth="1"/>
  </cols>
  <sheetData>
    <row r="2" spans="1:14" ht="12.75">
      <c r="A2" s="638" t="s">
        <v>276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</row>
    <row r="3" spans="1:14" ht="12.75">
      <c r="A3" s="638"/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</row>
    <row r="4" spans="1:14" ht="12.75">
      <c r="A4" s="638"/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</row>
    <row r="8" ht="12.75">
      <c r="N8" s="58" t="s">
        <v>99</v>
      </c>
    </row>
    <row r="9" spans="1:14" ht="27.75" customHeight="1">
      <c r="A9" s="292" t="s">
        <v>159</v>
      </c>
      <c r="B9" s="292" t="s">
        <v>253</v>
      </c>
      <c r="C9" s="292" t="s">
        <v>254</v>
      </c>
      <c r="D9" s="292" t="s">
        <v>255</v>
      </c>
      <c r="E9" s="292" t="s">
        <v>256</v>
      </c>
      <c r="F9" s="292" t="s">
        <v>257</v>
      </c>
      <c r="G9" s="292" t="s">
        <v>258</v>
      </c>
      <c r="H9" s="292" t="s">
        <v>259</v>
      </c>
      <c r="I9" s="292" t="s">
        <v>260</v>
      </c>
      <c r="J9" s="292" t="s">
        <v>261</v>
      </c>
      <c r="K9" s="292" t="s">
        <v>262</v>
      </c>
      <c r="L9" s="292" t="s">
        <v>263</v>
      </c>
      <c r="M9" s="292" t="s">
        <v>264</v>
      </c>
      <c r="N9" s="292" t="s">
        <v>141</v>
      </c>
    </row>
    <row r="10" spans="1:14" ht="12.75">
      <c r="A10" s="296" t="s">
        <v>142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</row>
    <row r="11" spans="1:19" ht="12.75">
      <c r="A11" s="293" t="s">
        <v>185</v>
      </c>
      <c r="B11" s="293">
        <v>6056</v>
      </c>
      <c r="C11" s="293">
        <v>6056</v>
      </c>
      <c r="D11" s="293">
        <v>11669</v>
      </c>
      <c r="E11" s="293">
        <v>6056</v>
      </c>
      <c r="F11" s="293">
        <v>6056</v>
      </c>
      <c r="G11" s="293">
        <v>8100</v>
      </c>
      <c r="H11" s="293">
        <v>3715</v>
      </c>
      <c r="I11" s="293">
        <v>3022</v>
      </c>
      <c r="J11" s="293">
        <v>10669</v>
      </c>
      <c r="K11" s="293">
        <v>5694</v>
      </c>
      <c r="L11" s="293">
        <v>5694</v>
      </c>
      <c r="M11" s="293">
        <v>6263</v>
      </c>
      <c r="N11" s="293">
        <f>SUM(B11:M11)</f>
        <v>79050</v>
      </c>
      <c r="S11" s="297"/>
    </row>
    <row r="12" spans="1:20" ht="12.75">
      <c r="A12" s="293" t="s">
        <v>184</v>
      </c>
      <c r="B12" s="293">
        <f>13755+200+16718</f>
        <v>30673</v>
      </c>
      <c r="C12" s="293">
        <f>19046+200+220</f>
        <v>19466</v>
      </c>
      <c r="D12" s="293">
        <f>14390+38000</f>
        <v>52390</v>
      </c>
      <c r="E12" s="293">
        <v>17000</v>
      </c>
      <c r="F12" s="293">
        <v>17020</v>
      </c>
      <c r="G12" s="293">
        <v>16800</v>
      </c>
      <c r="H12" s="293">
        <v>16500</v>
      </c>
      <c r="I12" s="293">
        <v>19320</v>
      </c>
      <c r="J12" s="293">
        <v>51568</v>
      </c>
      <c r="K12" s="293">
        <v>17506</v>
      </c>
      <c r="L12" s="293">
        <v>16600</v>
      </c>
      <c r="M12" s="293">
        <v>16577</v>
      </c>
      <c r="N12" s="293">
        <f aca="true" t="shared" si="0" ref="N12:N33">SUM(B12:M12)</f>
        <v>291420</v>
      </c>
      <c r="S12" s="297"/>
      <c r="T12" s="297"/>
    </row>
    <row r="13" spans="1:19" ht="12.75">
      <c r="A13" s="293" t="s">
        <v>186</v>
      </c>
      <c r="B13" s="293">
        <v>85801</v>
      </c>
      <c r="C13" s="293">
        <v>54625</v>
      </c>
      <c r="D13" s="293">
        <v>45184</v>
      </c>
      <c r="E13" s="293">
        <v>49475</v>
      </c>
      <c r="F13" s="293">
        <f>49475+6147</f>
        <v>55622</v>
      </c>
      <c r="G13" s="293">
        <v>53475</v>
      </c>
      <c r="H13" s="293">
        <v>53739</v>
      </c>
      <c r="I13" s="293">
        <v>54625</v>
      </c>
      <c r="J13" s="293">
        <v>45184</v>
      </c>
      <c r="K13" s="293">
        <v>49475</v>
      </c>
      <c r="L13" s="293">
        <v>50360</v>
      </c>
      <c r="M13" s="293">
        <v>30900</v>
      </c>
      <c r="N13" s="293">
        <f t="shared" si="0"/>
        <v>628465</v>
      </c>
      <c r="S13" s="297"/>
    </row>
    <row r="14" spans="1:19" ht="12.75">
      <c r="A14" s="293" t="s">
        <v>265</v>
      </c>
      <c r="B14" s="293"/>
      <c r="C14" s="293"/>
      <c r="D14" s="293">
        <v>2000</v>
      </c>
      <c r="E14" s="293"/>
      <c r="F14" s="293"/>
      <c r="G14" s="293"/>
      <c r="H14" s="293"/>
      <c r="I14" s="293"/>
      <c r="J14" s="293"/>
      <c r="K14" s="293"/>
      <c r="L14" s="293"/>
      <c r="M14" s="293">
        <v>2000</v>
      </c>
      <c r="N14" s="293">
        <f t="shared" si="0"/>
        <v>4000</v>
      </c>
      <c r="S14" s="297"/>
    </row>
    <row r="15" spans="1:19" ht="12.75">
      <c r="A15" s="293" t="s">
        <v>165</v>
      </c>
      <c r="B15" s="293"/>
      <c r="C15" s="293"/>
      <c r="D15" s="293"/>
      <c r="E15" s="293">
        <v>10000</v>
      </c>
      <c r="F15" s="293"/>
      <c r="G15" s="293"/>
      <c r="H15" s="293">
        <v>10000</v>
      </c>
      <c r="I15" s="293">
        <v>30000</v>
      </c>
      <c r="J15" s="293">
        <v>22835</v>
      </c>
      <c r="K15" s="293">
        <v>10000</v>
      </c>
      <c r="L15" s="293"/>
      <c r="M15" s="293">
        <v>10225</v>
      </c>
      <c r="N15" s="293">
        <f t="shared" si="0"/>
        <v>93060</v>
      </c>
      <c r="S15" s="297"/>
    </row>
    <row r="16" spans="1:19" ht="12.75">
      <c r="A16" s="293" t="s">
        <v>266</v>
      </c>
      <c r="B16" s="293"/>
      <c r="C16" s="293"/>
      <c r="D16" s="293"/>
      <c r="E16" s="293">
        <v>300</v>
      </c>
      <c r="F16" s="293"/>
      <c r="G16" s="293"/>
      <c r="H16" s="293">
        <v>200</v>
      </c>
      <c r="I16" s="293"/>
      <c r="J16" s="293"/>
      <c r="K16" s="293">
        <v>200</v>
      </c>
      <c r="L16" s="293"/>
      <c r="M16" s="293">
        <v>373</v>
      </c>
      <c r="N16" s="293">
        <f t="shared" si="0"/>
        <v>1073</v>
      </c>
      <c r="S16" s="297"/>
    </row>
    <row r="17" spans="1:19" ht="12.75">
      <c r="A17" s="293" t="s">
        <v>267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>
        <f t="shared" si="0"/>
        <v>0</v>
      </c>
      <c r="S17" s="297"/>
    </row>
    <row r="18" spans="1:19" ht="12.75">
      <c r="A18" s="293" t="s">
        <v>160</v>
      </c>
      <c r="B18" s="293"/>
      <c r="C18" s="293"/>
      <c r="D18" s="293">
        <v>186</v>
      </c>
      <c r="E18" s="293"/>
      <c r="F18" s="293">
        <v>5000</v>
      </c>
      <c r="G18" s="293"/>
      <c r="H18" s="293">
        <v>10000</v>
      </c>
      <c r="I18" s="293"/>
      <c r="J18" s="293"/>
      <c r="K18" s="293">
        <v>1981</v>
      </c>
      <c r="L18" s="293"/>
      <c r="M18" s="293">
        <v>95600</v>
      </c>
      <c r="N18" s="293">
        <f t="shared" si="0"/>
        <v>112767</v>
      </c>
      <c r="S18" s="297"/>
    </row>
    <row r="19" spans="1:19" ht="12.75">
      <c r="A19" s="296" t="s">
        <v>187</v>
      </c>
      <c r="B19" s="293">
        <f>SUM(B11:B18)</f>
        <v>122530</v>
      </c>
      <c r="C19" s="293">
        <f aca="true" t="shared" si="1" ref="C19:M19">SUM(C11:C18)</f>
        <v>80147</v>
      </c>
      <c r="D19" s="293">
        <f t="shared" si="1"/>
        <v>111429</v>
      </c>
      <c r="E19" s="293">
        <f t="shared" si="1"/>
        <v>82831</v>
      </c>
      <c r="F19" s="293">
        <f t="shared" si="1"/>
        <v>83698</v>
      </c>
      <c r="G19" s="293">
        <f t="shared" si="1"/>
        <v>78375</v>
      </c>
      <c r="H19" s="293">
        <f t="shared" si="1"/>
        <v>94154</v>
      </c>
      <c r="I19" s="293">
        <f t="shared" si="1"/>
        <v>106967</v>
      </c>
      <c r="J19" s="293">
        <f t="shared" si="1"/>
        <v>130256</v>
      </c>
      <c r="K19" s="293">
        <f t="shared" si="1"/>
        <v>84856</v>
      </c>
      <c r="L19" s="293">
        <f t="shared" si="1"/>
        <v>72654</v>
      </c>
      <c r="M19" s="293">
        <f t="shared" si="1"/>
        <v>161938</v>
      </c>
      <c r="N19" s="293">
        <f t="shared" si="0"/>
        <v>1209835</v>
      </c>
      <c r="S19" s="297"/>
    </row>
    <row r="20" spans="1:19" ht="12.75">
      <c r="A20" s="294"/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3">
        <f t="shared" si="0"/>
        <v>0</v>
      </c>
      <c r="S20" s="297"/>
    </row>
    <row r="21" spans="1:19" ht="12.75">
      <c r="A21" s="296" t="s">
        <v>158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>
        <f t="shared" si="0"/>
        <v>0</v>
      </c>
      <c r="S21" s="297"/>
    </row>
    <row r="22" spans="1:19" ht="12.75">
      <c r="A22" s="293" t="s">
        <v>143</v>
      </c>
      <c r="B22" s="293">
        <v>40655</v>
      </c>
      <c r="C22" s="293">
        <v>40655</v>
      </c>
      <c r="D22" s="293">
        <v>40655</v>
      </c>
      <c r="E22" s="293">
        <v>40655</v>
      </c>
      <c r="F22" s="293">
        <v>40655</v>
      </c>
      <c r="G22" s="293">
        <v>40655</v>
      </c>
      <c r="H22" s="293">
        <v>40655</v>
      </c>
      <c r="I22" s="293">
        <v>40655</v>
      </c>
      <c r="J22" s="293">
        <v>40655</v>
      </c>
      <c r="K22" s="293">
        <v>40655</v>
      </c>
      <c r="L22" s="293">
        <v>40655</v>
      </c>
      <c r="M22" s="293">
        <v>40655</v>
      </c>
      <c r="N22" s="293">
        <f t="shared" si="0"/>
        <v>487860</v>
      </c>
      <c r="S22" s="297"/>
    </row>
    <row r="23" spans="1:19" ht="12.75">
      <c r="A23" s="293" t="s">
        <v>268</v>
      </c>
      <c r="B23" s="293">
        <v>12638</v>
      </c>
      <c r="C23" s="293">
        <v>12638</v>
      </c>
      <c r="D23" s="293">
        <v>12638</v>
      </c>
      <c r="E23" s="293">
        <v>12638</v>
      </c>
      <c r="F23" s="293">
        <v>12638</v>
      </c>
      <c r="G23" s="293">
        <v>12638</v>
      </c>
      <c r="H23" s="293">
        <v>12638</v>
      </c>
      <c r="I23" s="293">
        <v>12638</v>
      </c>
      <c r="J23" s="293">
        <v>12638</v>
      </c>
      <c r="K23" s="293">
        <v>12638</v>
      </c>
      <c r="L23" s="293">
        <v>12638</v>
      </c>
      <c r="M23" s="293">
        <v>12639</v>
      </c>
      <c r="N23" s="293">
        <f t="shared" si="0"/>
        <v>151657</v>
      </c>
      <c r="S23" s="297"/>
    </row>
    <row r="24" spans="1:19" ht="12.75">
      <c r="A24" s="293" t="s">
        <v>269</v>
      </c>
      <c r="B24" s="293">
        <v>26734</v>
      </c>
      <c r="C24" s="293">
        <v>20000</v>
      </c>
      <c r="D24" s="293">
        <v>20000</v>
      </c>
      <c r="E24" s="293">
        <v>26734</v>
      </c>
      <c r="F24" s="293">
        <v>20000</v>
      </c>
      <c r="G24" s="293">
        <v>18000</v>
      </c>
      <c r="H24" s="293">
        <v>24734</v>
      </c>
      <c r="I24" s="293">
        <v>18449</v>
      </c>
      <c r="J24" s="293">
        <v>20500</v>
      </c>
      <c r="K24" s="293">
        <v>27130</v>
      </c>
      <c r="L24" s="293">
        <v>20000</v>
      </c>
      <c r="M24" s="293">
        <v>20000</v>
      </c>
      <c r="N24" s="293">
        <f t="shared" si="0"/>
        <v>262281</v>
      </c>
      <c r="R24" s="297"/>
      <c r="S24" s="297"/>
    </row>
    <row r="25" spans="1:14" ht="12.75">
      <c r="A25" s="293" t="s">
        <v>270</v>
      </c>
      <c r="B25" s="293"/>
      <c r="C25" s="293"/>
      <c r="D25" s="293"/>
      <c r="E25" s="293">
        <v>4428</v>
      </c>
      <c r="F25" s="293">
        <v>10598</v>
      </c>
      <c r="G25" s="293"/>
      <c r="H25" s="293">
        <v>56107</v>
      </c>
      <c r="I25" s="293">
        <v>9487</v>
      </c>
      <c r="J25" s="293">
        <v>5277</v>
      </c>
      <c r="K25" s="293">
        <v>1050</v>
      </c>
      <c r="L25" s="293">
        <v>7500</v>
      </c>
      <c r="M25" s="293">
        <v>95600</v>
      </c>
      <c r="N25" s="293">
        <f t="shared" si="0"/>
        <v>190047</v>
      </c>
    </row>
    <row r="26" spans="1:14" ht="12.75">
      <c r="A26" s="293" t="s">
        <v>96</v>
      </c>
      <c r="B26" s="293"/>
      <c r="C26" s="293"/>
      <c r="D26" s="293">
        <v>5000</v>
      </c>
      <c r="E26" s="293"/>
      <c r="F26" s="293"/>
      <c r="G26" s="293">
        <v>5000</v>
      </c>
      <c r="H26" s="293"/>
      <c r="I26" s="293"/>
      <c r="J26" s="293">
        <v>5000</v>
      </c>
      <c r="K26" s="293"/>
      <c r="L26" s="293"/>
      <c r="M26" s="293">
        <v>5676</v>
      </c>
      <c r="N26" s="293">
        <f t="shared" si="0"/>
        <v>20676</v>
      </c>
    </row>
    <row r="27" spans="1:14" ht="12.75">
      <c r="A27" s="293" t="s">
        <v>271</v>
      </c>
      <c r="B27" s="293"/>
      <c r="C27" s="293"/>
      <c r="D27" s="293">
        <v>800</v>
      </c>
      <c r="E27" s="293">
        <v>2300</v>
      </c>
      <c r="F27" s="293">
        <v>300</v>
      </c>
      <c r="G27" s="293">
        <v>1072</v>
      </c>
      <c r="H27" s="293">
        <v>500</v>
      </c>
      <c r="I27" s="293">
        <v>500</v>
      </c>
      <c r="J27" s="293">
        <v>500</v>
      </c>
      <c r="K27" s="293">
        <v>500</v>
      </c>
      <c r="L27" s="293">
        <v>500</v>
      </c>
      <c r="M27" s="293">
        <v>7000</v>
      </c>
      <c r="N27" s="293">
        <f t="shared" si="0"/>
        <v>13972</v>
      </c>
    </row>
    <row r="28" spans="1:14" ht="12.75">
      <c r="A28" s="293" t="s">
        <v>272</v>
      </c>
      <c r="B28" s="293">
        <v>13820</v>
      </c>
      <c r="C28" s="293">
        <v>13820</v>
      </c>
      <c r="D28" s="293">
        <v>13820</v>
      </c>
      <c r="E28" s="293">
        <v>13820</v>
      </c>
      <c r="F28" s="293">
        <v>13820</v>
      </c>
      <c r="G28" s="293">
        <v>13820</v>
      </c>
      <c r="H28" s="293">
        <v>13820</v>
      </c>
      <c r="I28" s="293">
        <v>13820</v>
      </c>
      <c r="J28" s="293">
        <v>20499</v>
      </c>
      <c r="K28" s="293">
        <v>14072</v>
      </c>
      <c r="L28" s="293">
        <v>13820</v>
      </c>
      <c r="M28" s="293">
        <v>13820</v>
      </c>
      <c r="N28" s="293">
        <f t="shared" si="0"/>
        <v>172771</v>
      </c>
    </row>
    <row r="29" spans="1:14" ht="12.75">
      <c r="A29" s="293" t="s">
        <v>157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>
        <v>5000</v>
      </c>
      <c r="N29" s="293">
        <f t="shared" si="0"/>
        <v>5000</v>
      </c>
    </row>
    <row r="30" spans="1:14" ht="12.75">
      <c r="A30" s="293" t="s">
        <v>98</v>
      </c>
      <c r="B30" s="293">
        <v>40831</v>
      </c>
      <c r="C30" s="293">
        <v>2730</v>
      </c>
      <c r="D30" s="293">
        <v>2730</v>
      </c>
      <c r="E30" s="293">
        <v>2970</v>
      </c>
      <c r="F30" s="293">
        <v>2730</v>
      </c>
      <c r="G30" s="293">
        <v>2730</v>
      </c>
      <c r="H30" s="293">
        <v>2970</v>
      </c>
      <c r="I30" s="293">
        <v>2730</v>
      </c>
      <c r="J30" s="293">
        <v>2730</v>
      </c>
      <c r="K30" s="293">
        <v>2970</v>
      </c>
      <c r="L30" s="293">
        <v>2430</v>
      </c>
      <c r="M30" s="293">
        <v>426</v>
      </c>
      <c r="N30" s="293">
        <f t="shared" si="0"/>
        <v>68977</v>
      </c>
    </row>
    <row r="31" spans="1:14" ht="12.75">
      <c r="A31" s="293" t="s">
        <v>273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>
        <f t="shared" si="0"/>
        <v>0</v>
      </c>
    </row>
    <row r="32" spans="1:14" ht="12.75">
      <c r="A32" s="296" t="s">
        <v>274</v>
      </c>
      <c r="B32" s="293">
        <f>SUM(B22:B31)</f>
        <v>134678</v>
      </c>
      <c r="C32" s="293">
        <f aca="true" t="shared" si="2" ref="C32:M32">SUM(C22:C31)</f>
        <v>89843</v>
      </c>
      <c r="D32" s="293">
        <f t="shared" si="2"/>
        <v>95643</v>
      </c>
      <c r="E32" s="293">
        <f t="shared" si="2"/>
        <v>103545</v>
      </c>
      <c r="F32" s="293">
        <f t="shared" si="2"/>
        <v>100741</v>
      </c>
      <c r="G32" s="293">
        <f t="shared" si="2"/>
        <v>93915</v>
      </c>
      <c r="H32" s="293">
        <f t="shared" si="2"/>
        <v>151424</v>
      </c>
      <c r="I32" s="293">
        <f t="shared" si="2"/>
        <v>98279</v>
      </c>
      <c r="J32" s="293">
        <f t="shared" si="2"/>
        <v>107799</v>
      </c>
      <c r="K32" s="293">
        <f t="shared" si="2"/>
        <v>99015</v>
      </c>
      <c r="L32" s="293">
        <f t="shared" si="2"/>
        <v>97543</v>
      </c>
      <c r="M32" s="293">
        <f t="shared" si="2"/>
        <v>200816</v>
      </c>
      <c r="N32" s="293">
        <f t="shared" si="0"/>
        <v>1373241</v>
      </c>
    </row>
    <row r="33" spans="1:14" ht="12.75">
      <c r="A33" s="296" t="s">
        <v>275</v>
      </c>
      <c r="B33" s="293">
        <f>B19-B32</f>
        <v>-12148</v>
      </c>
      <c r="C33" s="293">
        <f aca="true" t="shared" si="3" ref="C33:M33">C19-C32</f>
        <v>-9696</v>
      </c>
      <c r="D33" s="293">
        <f t="shared" si="3"/>
        <v>15786</v>
      </c>
      <c r="E33" s="293">
        <f t="shared" si="3"/>
        <v>-20714</v>
      </c>
      <c r="F33" s="293">
        <f t="shared" si="3"/>
        <v>-17043</v>
      </c>
      <c r="G33" s="293">
        <f t="shared" si="3"/>
        <v>-15540</v>
      </c>
      <c r="H33" s="293">
        <f t="shared" si="3"/>
        <v>-57270</v>
      </c>
      <c r="I33" s="293">
        <f t="shared" si="3"/>
        <v>8688</v>
      </c>
      <c r="J33" s="293">
        <f t="shared" si="3"/>
        <v>22457</v>
      </c>
      <c r="K33" s="293">
        <f t="shared" si="3"/>
        <v>-14159</v>
      </c>
      <c r="L33" s="293">
        <f t="shared" si="3"/>
        <v>-24889</v>
      </c>
      <c r="M33" s="293">
        <f t="shared" si="3"/>
        <v>-38878</v>
      </c>
      <c r="N33" s="293">
        <f t="shared" si="0"/>
        <v>-163406</v>
      </c>
    </row>
  </sheetData>
  <mergeCells count="1">
    <mergeCell ref="A2:N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&amp;L&amp;"Arial,Dőlt"Vámospércs Városi Önkormányzat&amp;R&amp;"Arial,Dőlt"10. 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B16" sqref="B16"/>
    </sheetView>
  </sheetViews>
  <sheetFormatPr defaultColWidth="9.140625" defaultRowHeight="12.75"/>
  <cols>
    <col min="1" max="1" width="19.57421875" style="58" customWidth="1"/>
    <col min="2" max="2" width="21.421875" style="58" customWidth="1"/>
    <col min="3" max="3" width="11.421875" style="58" customWidth="1"/>
    <col min="4" max="5" width="11.00390625" style="58" customWidth="1"/>
    <col min="6" max="6" width="10.00390625" style="58" customWidth="1"/>
    <col min="7" max="7" width="9.421875" style="58" customWidth="1"/>
    <col min="8" max="8" width="9.8515625" style="58" customWidth="1"/>
    <col min="9" max="9" width="9.57421875" style="58" customWidth="1"/>
    <col min="10" max="11" width="9.140625" style="58" customWidth="1"/>
  </cols>
  <sheetData>
    <row r="1" spans="1:11" ht="12.75">
      <c r="A1" s="639" t="s">
        <v>471</v>
      </c>
      <c r="B1" s="639"/>
      <c r="C1" s="639"/>
      <c r="D1" s="639"/>
      <c r="E1" s="639"/>
      <c r="F1" s="639"/>
      <c r="G1" s="639"/>
      <c r="H1" s="639"/>
      <c r="I1" s="639"/>
      <c r="J1" s="640"/>
      <c r="K1" s="640"/>
    </row>
    <row r="2" spans="1:11" ht="12.75">
      <c r="A2" s="639"/>
      <c r="B2" s="639"/>
      <c r="C2" s="639"/>
      <c r="D2" s="639"/>
      <c r="E2" s="639"/>
      <c r="F2" s="639"/>
      <c r="G2" s="639"/>
      <c r="H2" s="639"/>
      <c r="I2" s="639"/>
      <c r="J2" s="640"/>
      <c r="K2" s="640"/>
    </row>
    <row r="3" spans="1:11" ht="12.75">
      <c r="A3" s="641" t="s">
        <v>472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</row>
    <row r="4" spans="8:11" ht="12.75">
      <c r="H4" s="642"/>
      <c r="I4" s="642"/>
      <c r="K4" s="58" t="s">
        <v>473</v>
      </c>
    </row>
    <row r="5" spans="1:11" ht="12.75">
      <c r="A5" s="643" t="s">
        <v>474</v>
      </c>
      <c r="B5" s="643" t="s">
        <v>475</v>
      </c>
      <c r="C5" s="643" t="s">
        <v>476</v>
      </c>
      <c r="D5" s="643" t="s">
        <v>477</v>
      </c>
      <c r="E5" s="643" t="s">
        <v>478</v>
      </c>
      <c r="F5" s="644" t="s">
        <v>479</v>
      </c>
      <c r="G5" s="643" t="s">
        <v>480</v>
      </c>
      <c r="H5" s="643"/>
      <c r="I5" s="643"/>
      <c r="J5" s="645"/>
      <c r="K5" s="645"/>
    </row>
    <row r="6" spans="1:11" ht="12.75">
      <c r="A6" s="643"/>
      <c r="B6" s="643"/>
      <c r="C6" s="643"/>
      <c r="D6" s="643"/>
      <c r="E6" s="643"/>
      <c r="F6" s="644"/>
      <c r="G6" s="305" t="s">
        <v>135</v>
      </c>
      <c r="H6" s="305" t="s">
        <v>481</v>
      </c>
      <c r="I6" s="305" t="s">
        <v>482</v>
      </c>
      <c r="J6" s="305" t="s">
        <v>483</v>
      </c>
      <c r="K6" s="305" t="s">
        <v>484</v>
      </c>
    </row>
    <row r="7" spans="1:11" ht="12.75">
      <c r="A7" s="296" t="s">
        <v>485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</row>
    <row r="8" spans="1:11" ht="12.75">
      <c r="A8" s="293" t="s">
        <v>486</v>
      </c>
      <c r="B8" s="293" t="s">
        <v>487</v>
      </c>
      <c r="C8" s="337">
        <v>37559</v>
      </c>
      <c r="D8" s="337">
        <v>44640</v>
      </c>
      <c r="E8" s="303">
        <v>18942</v>
      </c>
      <c r="F8" s="303">
        <v>13902</v>
      </c>
      <c r="G8" s="303">
        <v>960</v>
      </c>
      <c r="H8" s="303">
        <v>960</v>
      </c>
      <c r="I8" s="303">
        <v>960</v>
      </c>
      <c r="J8" s="303">
        <v>960</v>
      </c>
      <c r="K8" s="338">
        <f aca="true" t="shared" si="0" ref="K8:K16">F8-(G8+H8+I8+J8)</f>
        <v>10062</v>
      </c>
    </row>
    <row r="9" spans="1:11" ht="12.75">
      <c r="A9" s="293"/>
      <c r="B9" s="293"/>
      <c r="C9" s="293"/>
      <c r="D9" s="293"/>
      <c r="E9" s="303"/>
      <c r="F9" s="303"/>
      <c r="G9" s="303"/>
      <c r="H9" s="303"/>
      <c r="I9" s="303"/>
      <c r="J9" s="338"/>
      <c r="K9" s="338">
        <f t="shared" si="0"/>
        <v>0</v>
      </c>
    </row>
    <row r="10" spans="1:11" ht="12.75">
      <c r="A10" s="293" t="s">
        <v>486</v>
      </c>
      <c r="B10" s="293" t="s">
        <v>488</v>
      </c>
      <c r="C10" s="293" t="s">
        <v>489</v>
      </c>
      <c r="D10" s="293" t="s">
        <v>490</v>
      </c>
      <c r="E10" s="303">
        <v>14500</v>
      </c>
      <c r="F10" s="303">
        <v>12605</v>
      </c>
      <c r="G10" s="303">
        <v>990</v>
      </c>
      <c r="H10" s="303">
        <v>989</v>
      </c>
      <c r="I10" s="303">
        <v>989</v>
      </c>
      <c r="J10" s="303">
        <v>989</v>
      </c>
      <c r="K10" s="338">
        <f t="shared" si="0"/>
        <v>8648</v>
      </c>
    </row>
    <row r="11" spans="1:11" ht="12.75">
      <c r="A11" s="293" t="s">
        <v>486</v>
      </c>
      <c r="B11" s="339" t="s">
        <v>491</v>
      </c>
      <c r="C11" s="293" t="s">
        <v>492</v>
      </c>
      <c r="D11" s="293" t="s">
        <v>493</v>
      </c>
      <c r="E11" s="303">
        <v>38358</v>
      </c>
      <c r="F11" s="303">
        <v>17415</v>
      </c>
      <c r="G11" s="303">
        <v>1569</v>
      </c>
      <c r="H11" s="303">
        <f>129+147+141+141+138+143+133+150+147+140+153+147</f>
        <v>1709</v>
      </c>
      <c r="I11" s="303">
        <f>148+160+150+148+160+158+152+160+161+159+164</f>
        <v>1720</v>
      </c>
      <c r="J11" s="303">
        <f>155+170+171+160+177+169+167+178+173+175+179+180+179</f>
        <v>2233</v>
      </c>
      <c r="K11" s="338">
        <f t="shared" si="0"/>
        <v>10184</v>
      </c>
    </row>
    <row r="12" spans="1:11" ht="12.75">
      <c r="A12" s="293" t="s">
        <v>486</v>
      </c>
      <c r="B12" s="339" t="s">
        <v>494</v>
      </c>
      <c r="C12" s="293" t="s">
        <v>495</v>
      </c>
      <c r="D12" s="337">
        <v>44895</v>
      </c>
      <c r="E12" s="303">
        <v>29686</v>
      </c>
      <c r="F12" s="303">
        <v>29686</v>
      </c>
      <c r="G12" s="303">
        <v>2597</v>
      </c>
      <c r="H12" s="303">
        <v>2861</v>
      </c>
      <c r="I12" s="303">
        <v>3153</v>
      </c>
      <c r="J12" s="303">
        <v>3452</v>
      </c>
      <c r="K12" s="338">
        <f t="shared" si="0"/>
        <v>17623</v>
      </c>
    </row>
    <row r="13" spans="1:11" ht="12.75">
      <c r="A13" s="340" t="s">
        <v>496</v>
      </c>
      <c r="B13" s="293"/>
      <c r="C13" s="337"/>
      <c r="D13" s="293"/>
      <c r="E13" s="303">
        <f aca="true" t="shared" si="1" ref="E13:J13">SUM(E6:E12)</f>
        <v>101486</v>
      </c>
      <c r="F13" s="303">
        <f t="shared" si="1"/>
        <v>73608</v>
      </c>
      <c r="G13" s="303">
        <f t="shared" si="1"/>
        <v>6116</v>
      </c>
      <c r="H13" s="303">
        <f t="shared" si="1"/>
        <v>6519</v>
      </c>
      <c r="I13" s="303">
        <f t="shared" si="1"/>
        <v>6822</v>
      </c>
      <c r="J13" s="303">
        <f t="shared" si="1"/>
        <v>7634</v>
      </c>
      <c r="K13" s="338">
        <f t="shared" si="0"/>
        <v>46517</v>
      </c>
    </row>
    <row r="14" spans="1:11" ht="12.75">
      <c r="A14" s="296" t="s">
        <v>497</v>
      </c>
      <c r="B14" s="293"/>
      <c r="C14" s="293"/>
      <c r="D14" s="293"/>
      <c r="E14" s="293"/>
      <c r="F14" s="303"/>
      <c r="G14" s="303"/>
      <c r="H14" s="303"/>
      <c r="I14" s="303"/>
      <c r="J14" s="303"/>
      <c r="K14" s="338">
        <f t="shared" si="0"/>
        <v>0</v>
      </c>
    </row>
    <row r="15" spans="1:11" ht="12.75">
      <c r="A15" s="293" t="s">
        <v>486</v>
      </c>
      <c r="B15" s="293"/>
      <c r="C15" s="337">
        <v>39438</v>
      </c>
      <c r="D15" s="337">
        <v>40147</v>
      </c>
      <c r="E15" s="303">
        <v>50000</v>
      </c>
      <c r="F15" s="303">
        <v>23279</v>
      </c>
      <c r="G15" s="303">
        <v>23279</v>
      </c>
      <c r="H15" s="303"/>
      <c r="I15" s="303"/>
      <c r="J15" s="303"/>
      <c r="K15" s="338">
        <f t="shared" si="0"/>
        <v>0</v>
      </c>
    </row>
    <row r="16" spans="1:11" ht="12.75">
      <c r="A16" s="296" t="s">
        <v>498</v>
      </c>
      <c r="B16" s="296"/>
      <c r="C16" s="341"/>
      <c r="D16" s="341"/>
      <c r="E16" s="320">
        <f aca="true" t="shared" si="2" ref="E16:J16">SUM(E13,E15)</f>
        <v>151486</v>
      </c>
      <c r="F16" s="320">
        <f t="shared" si="2"/>
        <v>96887</v>
      </c>
      <c r="G16" s="320">
        <f t="shared" si="2"/>
        <v>29395</v>
      </c>
      <c r="H16" s="320">
        <f t="shared" si="2"/>
        <v>6519</v>
      </c>
      <c r="I16" s="320">
        <f t="shared" si="2"/>
        <v>6822</v>
      </c>
      <c r="J16" s="320">
        <f t="shared" si="2"/>
        <v>7634</v>
      </c>
      <c r="K16" s="342">
        <f t="shared" si="0"/>
        <v>46517</v>
      </c>
    </row>
    <row r="17" spans="1:11" ht="12.75">
      <c r="A17" s="643" t="s">
        <v>474</v>
      </c>
      <c r="B17" s="643" t="s">
        <v>475</v>
      </c>
      <c r="C17" s="643" t="s">
        <v>476</v>
      </c>
      <c r="D17" s="643" t="s">
        <v>477</v>
      </c>
      <c r="E17" s="643" t="s">
        <v>478</v>
      </c>
      <c r="F17" s="644" t="s">
        <v>499</v>
      </c>
      <c r="G17" s="643" t="s">
        <v>500</v>
      </c>
      <c r="H17" s="643"/>
      <c r="I17" s="643"/>
      <c r="J17" s="645"/>
      <c r="K17" s="645"/>
    </row>
    <row r="18" spans="1:11" ht="12.75">
      <c r="A18" s="643"/>
      <c r="B18" s="643"/>
      <c r="C18" s="643"/>
      <c r="D18" s="643"/>
      <c r="E18" s="643"/>
      <c r="F18" s="644"/>
      <c r="G18" s="305" t="s">
        <v>135</v>
      </c>
      <c r="H18" s="305" t="s">
        <v>481</v>
      </c>
      <c r="I18" s="305" t="s">
        <v>482</v>
      </c>
      <c r="J18" s="305" t="s">
        <v>483</v>
      </c>
      <c r="K18" s="305" t="s">
        <v>484</v>
      </c>
    </row>
    <row r="19" spans="1:11" ht="12.75">
      <c r="A19" s="296" t="s">
        <v>485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</row>
    <row r="20" spans="1:11" ht="12.75">
      <c r="A20" s="293" t="s">
        <v>486</v>
      </c>
      <c r="B20" s="293" t="s">
        <v>487</v>
      </c>
      <c r="C20" s="337">
        <v>37559</v>
      </c>
      <c r="D20" s="337">
        <v>44640</v>
      </c>
      <c r="E20" s="303">
        <v>18942</v>
      </c>
      <c r="F20" s="303"/>
      <c r="G20" s="303">
        <v>740</v>
      </c>
      <c r="H20" s="303">
        <v>683</v>
      </c>
      <c r="I20" s="303">
        <v>625</v>
      </c>
      <c r="J20" s="303">
        <v>569</v>
      </c>
      <c r="K20" s="338">
        <v>4000</v>
      </c>
    </row>
    <row r="21" spans="1:11" ht="12.75">
      <c r="A21" s="293"/>
      <c r="B21" s="293"/>
      <c r="C21" s="293"/>
      <c r="D21" s="293"/>
      <c r="E21" s="303"/>
      <c r="F21" s="303"/>
      <c r="G21" s="303"/>
      <c r="H21" s="303"/>
      <c r="I21" s="303"/>
      <c r="J21" s="338"/>
      <c r="K21" s="338"/>
    </row>
    <row r="22" spans="1:11" ht="12.75">
      <c r="A22" s="293" t="s">
        <v>486</v>
      </c>
      <c r="B22" s="293" t="s">
        <v>488</v>
      </c>
      <c r="C22" s="293" t="s">
        <v>489</v>
      </c>
      <c r="D22" s="293" t="s">
        <v>490</v>
      </c>
      <c r="E22" s="303">
        <v>14500</v>
      </c>
      <c r="F22" s="303"/>
      <c r="G22" s="303">
        <v>1088</v>
      </c>
      <c r="H22" s="303">
        <v>1003</v>
      </c>
      <c r="I22" s="303">
        <v>908</v>
      </c>
      <c r="J22" s="303">
        <v>816</v>
      </c>
      <c r="K22" s="338">
        <f>712+613+514+148+400</f>
        <v>2387</v>
      </c>
    </row>
    <row r="23" spans="1:11" ht="12.75">
      <c r="A23" s="293" t="s">
        <v>486</v>
      </c>
      <c r="B23" s="339" t="s">
        <v>491</v>
      </c>
      <c r="C23" s="293" t="s">
        <v>492</v>
      </c>
      <c r="D23" s="293" t="s">
        <v>493</v>
      </c>
      <c r="E23" s="303">
        <v>38400</v>
      </c>
      <c r="F23" s="303"/>
      <c r="G23" s="303">
        <v>1607</v>
      </c>
      <c r="H23" s="303">
        <f>136+118+125+124+127+122+132+115+118+125+112+118</f>
        <v>1472</v>
      </c>
      <c r="I23" s="303">
        <f>117+105+115+117+105+107+113+105+103+106+101</f>
        <v>1194</v>
      </c>
      <c r="J23" s="303">
        <f>110+95+94+105+88+96+98+87+92+90+86+85+86</f>
        <v>1212</v>
      </c>
      <c r="K23" s="303">
        <v>4000</v>
      </c>
    </row>
    <row r="24" spans="1:11" ht="12.75">
      <c r="A24" s="293" t="s">
        <v>486</v>
      </c>
      <c r="B24" s="339" t="s">
        <v>494</v>
      </c>
      <c r="C24" s="293" t="s">
        <v>495</v>
      </c>
      <c r="D24" s="337">
        <v>44895</v>
      </c>
      <c r="E24" s="303">
        <v>29686</v>
      </c>
      <c r="F24" s="303"/>
      <c r="G24" s="303">
        <v>4830</v>
      </c>
      <c r="H24" s="303">
        <v>4574</v>
      </c>
      <c r="I24" s="303">
        <v>4323</v>
      </c>
      <c r="J24" s="303">
        <v>3983</v>
      </c>
      <c r="K24" s="303">
        <f>3598+3217+2787+2200+4000</f>
        <v>15802</v>
      </c>
    </row>
    <row r="25" spans="1:11" ht="12.75">
      <c r="A25" s="340" t="s">
        <v>496</v>
      </c>
      <c r="B25" s="293"/>
      <c r="C25" s="293"/>
      <c r="D25" s="293"/>
      <c r="E25" s="303">
        <f aca="true" t="shared" si="3" ref="E25:K25">SUM(E20:E24)</f>
        <v>101528</v>
      </c>
      <c r="F25" s="303">
        <f t="shared" si="3"/>
        <v>0</v>
      </c>
      <c r="G25" s="303">
        <f t="shared" si="3"/>
        <v>8265</v>
      </c>
      <c r="H25" s="303">
        <f t="shared" si="3"/>
        <v>7732</v>
      </c>
      <c r="I25" s="303">
        <f t="shared" si="3"/>
        <v>7050</v>
      </c>
      <c r="J25" s="303">
        <f t="shared" si="3"/>
        <v>6580</v>
      </c>
      <c r="K25" s="303">
        <f t="shared" si="3"/>
        <v>26189</v>
      </c>
    </row>
    <row r="26" spans="1:11" ht="12.75">
      <c r="A26" s="296" t="s">
        <v>497</v>
      </c>
      <c r="B26" s="293"/>
      <c r="C26" s="293"/>
      <c r="D26" s="293"/>
      <c r="E26" s="293"/>
      <c r="F26" s="303"/>
      <c r="G26" s="303"/>
      <c r="H26" s="303"/>
      <c r="I26" s="303"/>
      <c r="J26" s="303"/>
      <c r="K26" s="303"/>
    </row>
    <row r="27" spans="1:11" ht="12.75">
      <c r="A27" s="293" t="s">
        <v>486</v>
      </c>
      <c r="B27" s="293"/>
      <c r="C27" s="337">
        <v>39438</v>
      </c>
      <c r="D27" s="337">
        <v>40147</v>
      </c>
      <c r="E27" s="303">
        <v>50000</v>
      </c>
      <c r="F27" s="303"/>
      <c r="G27" s="303">
        <v>1113</v>
      </c>
      <c r="H27" s="303"/>
      <c r="I27" s="303"/>
      <c r="J27" s="303"/>
      <c r="K27" s="303"/>
    </row>
    <row r="28" spans="1:11" ht="12.75">
      <c r="A28" s="296" t="s">
        <v>498</v>
      </c>
      <c r="B28" s="293"/>
      <c r="C28" s="293"/>
      <c r="D28" s="293"/>
      <c r="E28" s="320">
        <f>SUM(E25,E27)</f>
        <v>151528</v>
      </c>
      <c r="F28" s="320">
        <f aca="true" t="shared" si="4" ref="F28:K28">SUM(F25,F27)</f>
        <v>0</v>
      </c>
      <c r="G28" s="320">
        <f t="shared" si="4"/>
        <v>9378</v>
      </c>
      <c r="H28" s="320">
        <f t="shared" si="4"/>
        <v>7732</v>
      </c>
      <c r="I28" s="320">
        <f t="shared" si="4"/>
        <v>7050</v>
      </c>
      <c r="J28" s="320">
        <f t="shared" si="4"/>
        <v>6580</v>
      </c>
      <c r="K28" s="320">
        <f t="shared" si="4"/>
        <v>26189</v>
      </c>
    </row>
    <row r="29" spans="1:11" ht="12.75">
      <c r="A29" s="343"/>
      <c r="B29" s="344"/>
      <c r="C29" s="344"/>
      <c r="D29" s="344"/>
      <c r="E29" s="345"/>
      <c r="F29" s="345"/>
      <c r="G29" s="345"/>
      <c r="H29" s="345"/>
      <c r="I29" s="345"/>
      <c r="J29" s="345"/>
      <c r="K29" s="345"/>
    </row>
    <row r="30" spans="1:11" ht="12.75">
      <c r="A30" s="643" t="s">
        <v>501</v>
      </c>
      <c r="B30" s="643" t="s">
        <v>502</v>
      </c>
      <c r="C30" s="643" t="s">
        <v>503</v>
      </c>
      <c r="D30" s="643" t="s">
        <v>477</v>
      </c>
      <c r="E30" s="643"/>
      <c r="F30" s="644"/>
      <c r="G30" s="643" t="s">
        <v>504</v>
      </c>
      <c r="H30" s="643"/>
      <c r="I30" s="643"/>
      <c r="J30" s="645"/>
      <c r="K30" s="645"/>
    </row>
    <row r="31" spans="1:11" ht="12.75">
      <c r="A31" s="643"/>
      <c r="B31" s="643"/>
      <c r="C31" s="643"/>
      <c r="D31" s="643"/>
      <c r="E31" s="643"/>
      <c r="F31" s="644"/>
      <c r="G31" s="305" t="s">
        <v>135</v>
      </c>
      <c r="H31" s="305" t="s">
        <v>481</v>
      </c>
      <c r="I31" s="305" t="s">
        <v>482</v>
      </c>
      <c r="J31" s="305" t="s">
        <v>483</v>
      </c>
      <c r="K31" s="305" t="s">
        <v>484</v>
      </c>
    </row>
    <row r="32" spans="1:11" ht="25.5">
      <c r="A32" s="293" t="s">
        <v>505</v>
      </c>
      <c r="B32" s="302" t="s">
        <v>506</v>
      </c>
      <c r="C32" s="337">
        <v>39814</v>
      </c>
      <c r="D32" s="337">
        <v>41274</v>
      </c>
      <c r="E32" s="293"/>
      <c r="F32" s="293"/>
      <c r="G32" s="293">
        <v>3000</v>
      </c>
      <c r="H32" s="293">
        <v>3000</v>
      </c>
      <c r="I32" s="293">
        <v>3000</v>
      </c>
      <c r="J32" s="293">
        <v>3000</v>
      </c>
      <c r="K32" s="293"/>
    </row>
    <row r="33" spans="1:11" ht="25.5">
      <c r="A33" s="302" t="s">
        <v>507</v>
      </c>
      <c r="B33" s="293" t="s">
        <v>508</v>
      </c>
      <c r="C33" s="337">
        <v>38671</v>
      </c>
      <c r="D33" s="337">
        <v>43054</v>
      </c>
      <c r="E33" s="303"/>
      <c r="F33" s="303"/>
      <c r="G33" s="303">
        <v>16788</v>
      </c>
      <c r="H33" s="303">
        <v>17292</v>
      </c>
      <c r="I33" s="303">
        <v>17810</v>
      </c>
      <c r="J33" s="303">
        <v>18345</v>
      </c>
      <c r="K33" s="338">
        <v>18895</v>
      </c>
    </row>
    <row r="34" spans="1:11" ht="12.75">
      <c r="A34" s="340" t="s">
        <v>496</v>
      </c>
      <c r="B34" s="293"/>
      <c r="C34" s="293"/>
      <c r="D34" s="293"/>
      <c r="E34" s="303"/>
      <c r="F34" s="303">
        <f>SUM(F33:F33)</f>
        <v>0</v>
      </c>
      <c r="G34" s="303">
        <f>SUM(G32:G33)</f>
        <v>19788</v>
      </c>
      <c r="H34" s="303">
        <f>SUM(H32:H33)</f>
        <v>20292</v>
      </c>
      <c r="I34" s="303">
        <f>SUM(I32:I33)</f>
        <v>20810</v>
      </c>
      <c r="J34" s="303">
        <f>SUM(J32:J33)</f>
        <v>21345</v>
      </c>
      <c r="K34" s="303">
        <f>SUM(K32:K33)</f>
        <v>18895</v>
      </c>
    </row>
    <row r="35" spans="1:11" ht="12.75">
      <c r="A35" s="646" t="s">
        <v>509</v>
      </c>
      <c r="B35" s="646"/>
      <c r="C35" s="646"/>
      <c r="D35" s="646"/>
      <c r="E35" s="646"/>
      <c r="F35" s="646"/>
      <c r="G35" s="646"/>
      <c r="H35" s="646"/>
      <c r="I35" s="646"/>
      <c r="J35" s="641"/>
      <c r="K35" s="641"/>
    </row>
    <row r="36" spans="1:11" ht="12.75">
      <c r="A36" s="646"/>
      <c r="B36" s="646"/>
      <c r="C36" s="646"/>
      <c r="D36" s="646"/>
      <c r="E36" s="646"/>
      <c r="F36" s="646"/>
      <c r="G36" s="646"/>
      <c r="H36" s="646"/>
      <c r="I36" s="646"/>
      <c r="J36" s="641"/>
      <c r="K36" s="641"/>
    </row>
    <row r="38" spans="1:3" ht="12.75">
      <c r="A38" s="58" t="s">
        <v>510</v>
      </c>
      <c r="C38" s="58" t="s">
        <v>511</v>
      </c>
    </row>
    <row r="39" spans="1:3" ht="12.75">
      <c r="A39" s="58" t="s">
        <v>512</v>
      </c>
      <c r="C39" s="58" t="s">
        <v>513</v>
      </c>
    </row>
    <row r="40" spans="1:3" ht="12.75">
      <c r="A40" s="58" t="s">
        <v>514</v>
      </c>
      <c r="C40" s="58" t="s">
        <v>515</v>
      </c>
    </row>
    <row r="41" spans="1:3" ht="12.75">
      <c r="A41" s="58" t="s">
        <v>516</v>
      </c>
      <c r="C41" s="58" t="s">
        <v>517</v>
      </c>
    </row>
    <row r="42" ht="12.75">
      <c r="C42" s="58" t="s">
        <v>518</v>
      </c>
    </row>
    <row r="43" spans="1:3" ht="12.75">
      <c r="A43" s="58" t="s">
        <v>519</v>
      </c>
      <c r="C43" s="58" t="s">
        <v>520</v>
      </c>
    </row>
    <row r="44" spans="1:3" ht="12.75">
      <c r="A44" s="58" t="s">
        <v>521</v>
      </c>
      <c r="C44" s="58" t="s">
        <v>522</v>
      </c>
    </row>
    <row r="45" spans="1:3" ht="12.75">
      <c r="A45" s="58" t="s">
        <v>523</v>
      </c>
      <c r="C45" s="58" t="s">
        <v>524</v>
      </c>
    </row>
    <row r="46" spans="1:3" ht="12.75">
      <c r="A46" s="58" t="s">
        <v>525</v>
      </c>
      <c r="C46" s="58" t="s">
        <v>526</v>
      </c>
    </row>
    <row r="47" spans="1:3" ht="12.75">
      <c r="A47" s="58" t="s">
        <v>527</v>
      </c>
      <c r="C47" s="58" t="s">
        <v>528</v>
      </c>
    </row>
    <row r="48" spans="1:3" ht="12.75">
      <c r="A48" s="58" t="s">
        <v>529</v>
      </c>
      <c r="C48" s="58" t="s">
        <v>530</v>
      </c>
    </row>
    <row r="50" spans="1:3" ht="12.75">
      <c r="A50" s="58" t="s">
        <v>531</v>
      </c>
      <c r="C50" s="58" t="s">
        <v>532</v>
      </c>
    </row>
    <row r="52" spans="1:5" ht="12.75">
      <c r="A52" s="643" t="s">
        <v>480</v>
      </c>
      <c r="B52" s="643"/>
      <c r="C52" s="643"/>
      <c r="D52" s="645"/>
      <c r="E52" s="645"/>
    </row>
    <row r="53" spans="1:5" ht="12.75">
      <c r="A53" s="305" t="s">
        <v>135</v>
      </c>
      <c r="B53" s="305" t="s">
        <v>481</v>
      </c>
      <c r="C53" s="305" t="s">
        <v>482</v>
      </c>
      <c r="D53" s="305" t="s">
        <v>483</v>
      </c>
      <c r="E53" s="305" t="s">
        <v>484</v>
      </c>
    </row>
    <row r="54" spans="1:5" ht="12.75">
      <c r="A54" s="303">
        <v>0</v>
      </c>
      <c r="B54" s="303">
        <v>0</v>
      </c>
      <c r="C54" s="303">
        <v>15000</v>
      </c>
      <c r="D54" s="303">
        <v>15000</v>
      </c>
      <c r="E54" s="303">
        <v>270000</v>
      </c>
    </row>
    <row r="55" spans="1:5" ht="12.75">
      <c r="A55" s="316"/>
      <c r="B55" s="316"/>
      <c r="C55" s="316"/>
      <c r="D55" s="316"/>
      <c r="E55" s="316"/>
    </row>
    <row r="56" spans="1:5" ht="12.75">
      <c r="A56" s="316"/>
      <c r="B56" s="316"/>
      <c r="C56" s="316"/>
      <c r="D56" s="316"/>
      <c r="E56" s="58" t="s">
        <v>473</v>
      </c>
    </row>
    <row r="57" spans="1:5" ht="12.75">
      <c r="A57" s="647" t="s">
        <v>500</v>
      </c>
      <c r="B57" s="647"/>
      <c r="C57" s="647"/>
      <c r="D57" s="648"/>
      <c r="E57" s="648"/>
    </row>
    <row r="58" spans="1:5" ht="12.75">
      <c r="A58" s="346" t="s">
        <v>135</v>
      </c>
      <c r="B58" s="346" t="s">
        <v>481</v>
      </c>
      <c r="C58" s="346" t="s">
        <v>482</v>
      </c>
      <c r="D58" s="346" t="s">
        <v>483</v>
      </c>
      <c r="E58" s="346" t="s">
        <v>484</v>
      </c>
    </row>
    <row r="59" spans="1:5" ht="12.75">
      <c r="A59" s="303">
        <v>17670</v>
      </c>
      <c r="B59" s="303">
        <v>16000</v>
      </c>
      <c r="C59" s="303">
        <v>16000</v>
      </c>
      <c r="D59" s="303">
        <v>15800</v>
      </c>
      <c r="E59" s="303"/>
    </row>
    <row r="60" spans="1:5" ht="12.75">
      <c r="A60" s="316"/>
      <c r="B60" s="316"/>
      <c r="C60" s="316"/>
      <c r="D60" s="316"/>
      <c r="E60" s="316"/>
    </row>
    <row r="61" spans="1:5" ht="12.75">
      <c r="A61" s="316" t="s">
        <v>533</v>
      </c>
      <c r="B61" s="316"/>
      <c r="C61" s="316"/>
      <c r="D61" s="347" t="s">
        <v>534</v>
      </c>
      <c r="E61" s="316"/>
    </row>
    <row r="62" spans="1:4" ht="12.75">
      <c r="A62" s="58" t="s">
        <v>535</v>
      </c>
      <c r="D62" s="347" t="s">
        <v>536</v>
      </c>
    </row>
  </sheetData>
  <mergeCells count="27">
    <mergeCell ref="A35:K36"/>
    <mergeCell ref="A52:E52"/>
    <mergeCell ref="A57:E57"/>
    <mergeCell ref="E17:E18"/>
    <mergeCell ref="F17:F18"/>
    <mergeCell ref="G17:K17"/>
    <mergeCell ref="A30:A31"/>
    <mergeCell ref="B30:B31"/>
    <mergeCell ref="C30:C31"/>
    <mergeCell ref="D30:D31"/>
    <mergeCell ref="E30:E31"/>
    <mergeCell ref="F30:F31"/>
    <mergeCell ref="G30:K30"/>
    <mergeCell ref="A17:A18"/>
    <mergeCell ref="B17:B18"/>
    <mergeCell ref="C17:C18"/>
    <mergeCell ref="D17:D18"/>
    <mergeCell ref="A1:K2"/>
    <mergeCell ref="A3:K3"/>
    <mergeCell ref="H4:I4"/>
    <mergeCell ref="A5:A6"/>
    <mergeCell ref="B5:B6"/>
    <mergeCell ref="C5:C6"/>
    <mergeCell ref="D5:D6"/>
    <mergeCell ref="E5:E6"/>
    <mergeCell ref="F5:F6"/>
    <mergeCell ref="G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B8" sqref="B8"/>
    </sheetView>
  </sheetViews>
  <sheetFormatPr defaultColWidth="9.140625" defaultRowHeight="12.75"/>
  <cols>
    <col min="1" max="1" width="23.7109375" style="0" customWidth="1"/>
    <col min="3" max="3" width="17.28125" style="0" customWidth="1"/>
    <col min="4" max="5" width="11.28125" style="0" customWidth="1"/>
    <col min="6" max="6" width="19.57421875" style="0" customWidth="1"/>
    <col min="7" max="7" width="10.57421875" style="0" customWidth="1"/>
    <col min="8" max="8" width="11.8515625" style="0" customWidth="1"/>
    <col min="9" max="9" width="12.00390625" style="0" customWidth="1"/>
  </cols>
  <sheetData>
    <row r="2" spans="1:9" ht="15.75">
      <c r="A2" s="649" t="s">
        <v>537</v>
      </c>
      <c r="B2" s="649"/>
      <c r="C2" s="649"/>
      <c r="D2" s="649"/>
      <c r="E2" s="649"/>
      <c r="F2" s="649"/>
      <c r="G2" s="649"/>
      <c r="H2" s="649"/>
      <c r="I2" s="649"/>
    </row>
    <row r="3" spans="1:9" ht="15.75">
      <c r="A3" s="348"/>
      <c r="B3" s="348"/>
      <c r="C3" s="348"/>
      <c r="D3" s="348"/>
      <c r="E3" s="348"/>
      <c r="F3" s="348"/>
      <c r="G3" s="348"/>
      <c r="H3" s="348"/>
      <c r="I3" s="349"/>
    </row>
    <row r="4" spans="1:9" ht="16.5" thickBo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15.75">
      <c r="A5" s="650" t="s">
        <v>538</v>
      </c>
      <c r="B5" s="652" t="s">
        <v>539</v>
      </c>
      <c r="C5" s="654" t="s">
        <v>540</v>
      </c>
      <c r="D5" s="654"/>
      <c r="E5" s="654"/>
      <c r="F5" s="654" t="s">
        <v>541</v>
      </c>
      <c r="G5" s="654"/>
      <c r="H5" s="654"/>
      <c r="I5" s="655" t="s">
        <v>542</v>
      </c>
    </row>
    <row r="6" spans="1:9" ht="32.25" thickBot="1">
      <c r="A6" s="651"/>
      <c r="B6" s="653"/>
      <c r="C6" s="350" t="s">
        <v>543</v>
      </c>
      <c r="D6" s="350" t="s">
        <v>544</v>
      </c>
      <c r="E6" s="350" t="s">
        <v>545</v>
      </c>
      <c r="F6" s="350" t="s">
        <v>543</v>
      </c>
      <c r="G6" s="350" t="s">
        <v>544</v>
      </c>
      <c r="H6" s="350" t="s">
        <v>545</v>
      </c>
      <c r="I6" s="656"/>
    </row>
    <row r="7" spans="1:9" ht="33" thickBot="1" thickTop="1">
      <c r="A7" s="351" t="s">
        <v>546</v>
      </c>
      <c r="B7" s="352">
        <v>394</v>
      </c>
      <c r="C7" s="353" t="s">
        <v>547</v>
      </c>
      <c r="D7" s="354">
        <v>100</v>
      </c>
      <c r="E7" s="355">
        <v>2735</v>
      </c>
      <c r="F7" s="356"/>
      <c r="G7" s="356"/>
      <c r="H7" s="357"/>
      <c r="I7" s="358">
        <f>E7+H7</f>
        <v>2735</v>
      </c>
    </row>
    <row r="8" spans="1:9" ht="48" thickBot="1">
      <c r="A8" s="359" t="s">
        <v>548</v>
      </c>
      <c r="B8" s="360">
        <v>453</v>
      </c>
      <c r="C8" s="361" t="s">
        <v>549</v>
      </c>
      <c r="D8" s="361">
        <v>100</v>
      </c>
      <c r="E8" s="362">
        <v>7180</v>
      </c>
      <c r="F8" s="361"/>
      <c r="G8" s="361"/>
      <c r="H8" s="363"/>
      <c r="I8" s="358">
        <f>E8+H8</f>
        <v>7180</v>
      </c>
    </row>
    <row r="9" spans="1:9" ht="32.25" thickBot="1">
      <c r="A9" s="359" t="s">
        <v>550</v>
      </c>
      <c r="B9" s="364">
        <v>88</v>
      </c>
      <c r="C9" s="361" t="s">
        <v>549</v>
      </c>
      <c r="D9" s="361"/>
      <c r="E9" s="362"/>
      <c r="F9" s="361" t="s">
        <v>549</v>
      </c>
      <c r="G9" s="361">
        <v>50</v>
      </c>
      <c r="H9" s="363">
        <v>697</v>
      </c>
      <c r="I9" s="365">
        <f>E9+H9</f>
        <v>697</v>
      </c>
    </row>
    <row r="10" spans="1:9" ht="16.5" thickBot="1">
      <c r="A10" s="366" t="s">
        <v>551</v>
      </c>
      <c r="B10" s="367"/>
      <c r="C10" s="368"/>
      <c r="D10" s="368" t="s">
        <v>552</v>
      </c>
      <c r="E10" s="369">
        <f>SUM(E7:E9)</f>
        <v>9915</v>
      </c>
      <c r="F10" s="370"/>
      <c r="G10" s="370"/>
      <c r="H10" s="369">
        <f>SUM(H7:H9)</f>
        <v>697</v>
      </c>
      <c r="I10" s="371">
        <f>E10+H10</f>
        <v>10612</v>
      </c>
    </row>
  </sheetData>
  <mergeCells count="6">
    <mergeCell ref="A2:I2"/>
    <mergeCell ref="A5:A6"/>
    <mergeCell ref="B5:B6"/>
    <mergeCell ref="C5:E5"/>
    <mergeCell ref="F5:H5"/>
    <mergeCell ref="I5:I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&amp;L&amp;"Arial,Dőlt"Vámospércs Városi Önkormányzat&amp;R&amp;"Arial,Dőlt"12.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G18" sqref="G18:I18"/>
    </sheetView>
  </sheetViews>
  <sheetFormatPr defaultColWidth="9.140625" defaultRowHeight="12.75"/>
  <cols>
    <col min="1" max="1" width="52.421875" style="58" customWidth="1"/>
    <col min="2" max="2" width="7.57421875" style="58" customWidth="1"/>
    <col min="3" max="3" width="8.8515625" style="58" customWidth="1"/>
    <col min="4" max="5" width="9.00390625" style="58" customWidth="1"/>
  </cols>
  <sheetData>
    <row r="1" spans="1:5" ht="31.5" customHeight="1">
      <c r="A1" s="639" t="s">
        <v>278</v>
      </c>
      <c r="B1" s="657"/>
      <c r="C1" s="657"/>
      <c r="D1" s="657"/>
      <c r="E1" s="657"/>
    </row>
    <row r="2" spans="1:5" ht="31.5" customHeight="1">
      <c r="A2" s="300"/>
      <c r="B2" s="298"/>
      <c r="C2" s="298"/>
      <c r="D2" s="298"/>
      <c r="E2" s="298"/>
    </row>
    <row r="3" spans="1:5" ht="31.5" customHeight="1">
      <c r="A3" s="300"/>
      <c r="B3" s="298"/>
      <c r="C3" s="298"/>
      <c r="D3" s="298"/>
      <c r="E3" s="298"/>
    </row>
    <row r="4" ht="12.75">
      <c r="E4" s="58" t="s">
        <v>279</v>
      </c>
    </row>
    <row r="5" spans="1:5" ht="21" customHeight="1">
      <c r="A5" s="305" t="s">
        <v>159</v>
      </c>
      <c r="B5" s="305" t="s">
        <v>191</v>
      </c>
      <c r="C5" s="305" t="s">
        <v>280</v>
      </c>
      <c r="D5" s="305" t="s">
        <v>281</v>
      </c>
      <c r="E5" s="305" t="s">
        <v>282</v>
      </c>
    </row>
    <row r="6" spans="1:5" ht="21" customHeight="1">
      <c r="A6" s="658" t="s">
        <v>283</v>
      </c>
      <c r="B6" s="658"/>
      <c r="C6" s="658"/>
      <c r="D6" s="658"/>
      <c r="E6" s="658"/>
    </row>
    <row r="7" spans="1:5" ht="48.75" customHeight="1">
      <c r="A7" s="302" t="s">
        <v>284</v>
      </c>
      <c r="B7" s="293">
        <v>1</v>
      </c>
      <c r="C7" s="293">
        <v>78050</v>
      </c>
      <c r="D7" s="293">
        <v>79000</v>
      </c>
      <c r="E7" s="293">
        <v>80000</v>
      </c>
    </row>
    <row r="8" spans="1:5" ht="15.75" customHeight="1">
      <c r="A8" s="293" t="s">
        <v>285</v>
      </c>
      <c r="B8" s="293">
        <v>2</v>
      </c>
      <c r="C8" s="293">
        <v>99000</v>
      </c>
      <c r="D8" s="293">
        <v>100000</v>
      </c>
      <c r="E8" s="293">
        <v>103000</v>
      </c>
    </row>
    <row r="9" spans="1:5" ht="36" customHeight="1">
      <c r="A9" s="302" t="s">
        <v>286</v>
      </c>
      <c r="B9" s="293">
        <v>3</v>
      </c>
      <c r="C9" s="293">
        <v>790727</v>
      </c>
      <c r="D9" s="293">
        <v>795000</v>
      </c>
      <c r="E9" s="293">
        <v>800000</v>
      </c>
    </row>
    <row r="10" spans="1:5" ht="19.5" customHeight="1">
      <c r="A10" s="293" t="s">
        <v>287</v>
      </c>
      <c r="B10" s="293">
        <v>4</v>
      </c>
      <c r="C10" s="293"/>
      <c r="D10" s="293"/>
      <c r="E10" s="293"/>
    </row>
    <row r="11" spans="1:5" ht="19.5" customHeight="1">
      <c r="A11" s="293" t="s">
        <v>288</v>
      </c>
      <c r="B11" s="293">
        <v>5</v>
      </c>
      <c r="C11" s="293">
        <v>40225</v>
      </c>
      <c r="D11" s="293">
        <v>41000</v>
      </c>
      <c r="E11" s="293">
        <v>42000</v>
      </c>
    </row>
    <row r="12" spans="1:5" ht="19.5" customHeight="1">
      <c r="A12" s="293" t="s">
        <v>289</v>
      </c>
      <c r="B12" s="293">
        <v>6</v>
      </c>
      <c r="C12" s="293"/>
      <c r="D12" s="293"/>
      <c r="E12" s="293"/>
    </row>
    <row r="13" spans="1:5" ht="19.5" customHeight="1">
      <c r="A13" s="293" t="s">
        <v>290</v>
      </c>
      <c r="B13" s="293">
        <v>7</v>
      </c>
      <c r="C13" s="293"/>
      <c r="D13" s="293"/>
      <c r="E13" s="293"/>
    </row>
    <row r="14" spans="1:5" ht="19.5" customHeight="1">
      <c r="A14" s="293" t="s">
        <v>291</v>
      </c>
      <c r="B14" s="293">
        <v>8</v>
      </c>
      <c r="C14" s="293">
        <v>163406</v>
      </c>
      <c r="D14" s="293">
        <f>102875+825</f>
        <v>103700</v>
      </c>
      <c r="E14" s="293">
        <f>114800+11000</f>
        <v>125800</v>
      </c>
    </row>
    <row r="15" spans="1:5" ht="19.5" customHeight="1">
      <c r="A15" s="293" t="s">
        <v>292</v>
      </c>
      <c r="B15" s="293">
        <v>9</v>
      </c>
      <c r="C15" s="293"/>
      <c r="D15" s="293"/>
      <c r="E15" s="293"/>
    </row>
    <row r="16" spans="1:5" ht="19.5" customHeight="1">
      <c r="A16" s="293" t="s">
        <v>293</v>
      </c>
      <c r="B16" s="293">
        <v>10</v>
      </c>
      <c r="C16" s="293">
        <v>186</v>
      </c>
      <c r="D16" s="293"/>
      <c r="E16" s="293"/>
    </row>
    <row r="17" spans="1:5" ht="21" customHeight="1">
      <c r="A17" s="301" t="s">
        <v>294</v>
      </c>
      <c r="B17" s="301">
        <v>11</v>
      </c>
      <c r="C17" s="301">
        <f>SUM(C7:C16)</f>
        <v>1171594</v>
      </c>
      <c r="D17" s="301">
        <f>SUM(D7:D16)</f>
        <v>1118700</v>
      </c>
      <c r="E17" s="301">
        <f>SUM(E7:E16)</f>
        <v>1150800</v>
      </c>
    </row>
    <row r="18" spans="1:5" ht="19.5" customHeight="1">
      <c r="A18" s="293" t="s">
        <v>295</v>
      </c>
      <c r="B18" s="293">
        <v>12</v>
      </c>
      <c r="C18" s="293">
        <v>487860</v>
      </c>
      <c r="D18" s="293">
        <v>486000</v>
      </c>
      <c r="E18" s="293">
        <v>500000</v>
      </c>
    </row>
    <row r="19" spans="1:5" ht="19.5" customHeight="1">
      <c r="A19" s="293" t="s">
        <v>93</v>
      </c>
      <c r="B19" s="293">
        <v>13</v>
      </c>
      <c r="C19" s="293">
        <v>151657</v>
      </c>
      <c r="D19" s="293">
        <v>151000</v>
      </c>
      <c r="E19" s="293">
        <v>162000</v>
      </c>
    </row>
    <row r="20" spans="1:5" ht="39.75" customHeight="1">
      <c r="A20" s="302" t="s">
        <v>296</v>
      </c>
      <c r="B20" s="293">
        <v>14</v>
      </c>
      <c r="C20" s="293">
        <f>235346-6500</f>
        <v>228846</v>
      </c>
      <c r="D20" s="293">
        <v>235700</v>
      </c>
      <c r="E20" s="293">
        <v>242800</v>
      </c>
    </row>
    <row r="21" spans="1:5" ht="25.5" customHeight="1">
      <c r="A21" s="302" t="s">
        <v>297</v>
      </c>
      <c r="B21" s="293">
        <v>15</v>
      </c>
      <c r="C21" s="293">
        <v>180469</v>
      </c>
      <c r="D21" s="293">
        <v>12000</v>
      </c>
      <c r="E21" s="293">
        <v>12000</v>
      </c>
    </row>
    <row r="22" spans="1:5" ht="19.5" customHeight="1">
      <c r="A22" s="293" t="s">
        <v>298</v>
      </c>
      <c r="B22" s="293">
        <v>16</v>
      </c>
      <c r="C22" s="293">
        <v>20676</v>
      </c>
      <c r="D22" s="293">
        <v>20000</v>
      </c>
      <c r="E22" s="293">
        <v>20000</v>
      </c>
    </row>
    <row r="23" spans="1:5" ht="19.5" customHeight="1">
      <c r="A23" s="293" t="s">
        <v>299</v>
      </c>
      <c r="B23" s="293">
        <v>17</v>
      </c>
      <c r="C23" s="293"/>
      <c r="D23" s="293"/>
      <c r="E23" s="293"/>
    </row>
    <row r="24" spans="1:5" ht="19.5" customHeight="1">
      <c r="A24" s="293" t="s">
        <v>300</v>
      </c>
      <c r="B24" s="293">
        <v>18</v>
      </c>
      <c r="C24" s="293">
        <v>6274</v>
      </c>
      <c r="D24" s="293">
        <v>170000</v>
      </c>
      <c r="E24" s="293">
        <v>170000</v>
      </c>
    </row>
    <row r="25" spans="1:5" ht="19.5" customHeight="1">
      <c r="A25" s="293" t="s">
        <v>301</v>
      </c>
      <c r="B25" s="293">
        <v>19</v>
      </c>
      <c r="C25" s="293"/>
      <c r="D25" s="293"/>
      <c r="E25" s="293"/>
    </row>
    <row r="26" spans="1:5" ht="19.5" customHeight="1">
      <c r="A26" s="293" t="s">
        <v>302</v>
      </c>
      <c r="B26" s="293">
        <v>20</v>
      </c>
      <c r="C26" s="293">
        <v>62861</v>
      </c>
      <c r="D26" s="293">
        <v>40000</v>
      </c>
      <c r="E26" s="293">
        <v>40000</v>
      </c>
    </row>
    <row r="27" spans="1:5" ht="19.5" customHeight="1">
      <c r="A27" s="293" t="s">
        <v>303</v>
      </c>
      <c r="B27" s="293">
        <v>21</v>
      </c>
      <c r="C27" s="293">
        <v>6500</v>
      </c>
      <c r="D27" s="293">
        <v>4000</v>
      </c>
      <c r="E27" s="293">
        <v>4000</v>
      </c>
    </row>
    <row r="28" spans="1:5" ht="19.5" customHeight="1">
      <c r="A28" s="293" t="s">
        <v>304</v>
      </c>
      <c r="B28" s="293">
        <v>22</v>
      </c>
      <c r="C28" s="293"/>
      <c r="D28" s="293"/>
      <c r="E28" s="293"/>
    </row>
    <row r="29" spans="1:5" ht="19.5" customHeight="1">
      <c r="A29" s="293" t="s">
        <v>157</v>
      </c>
      <c r="B29" s="293">
        <v>23</v>
      </c>
      <c r="C29" s="293">
        <v>5000</v>
      </c>
      <c r="D29" s="293"/>
      <c r="E29" s="293"/>
    </row>
    <row r="30" spans="1:5" ht="21" customHeight="1">
      <c r="A30" s="301" t="s">
        <v>305</v>
      </c>
      <c r="B30" s="301">
        <v>24</v>
      </c>
      <c r="C30" s="301">
        <f>SUM(C18:C29)</f>
        <v>1150143</v>
      </c>
      <c r="D30" s="301">
        <f>SUM(D18:D29)</f>
        <v>1118700</v>
      </c>
      <c r="E30" s="301">
        <f>SUM(E18:E29)</f>
        <v>1150800</v>
      </c>
    </row>
    <row r="37" spans="1:5" ht="21" customHeight="1">
      <c r="A37" s="305" t="s">
        <v>159</v>
      </c>
      <c r="B37" s="305" t="s">
        <v>191</v>
      </c>
      <c r="C37" s="305" t="s">
        <v>280</v>
      </c>
      <c r="D37" s="305" t="s">
        <v>281</v>
      </c>
      <c r="E37" s="305" t="s">
        <v>282</v>
      </c>
    </row>
    <row r="38" spans="1:5" ht="19.5" customHeight="1">
      <c r="A38" s="293" t="s">
        <v>306</v>
      </c>
      <c r="B38" s="293"/>
      <c r="C38" s="293"/>
      <c r="D38" s="293"/>
      <c r="E38" s="293"/>
    </row>
    <row r="39" spans="1:5" ht="28.5" customHeight="1">
      <c r="A39" s="302" t="s">
        <v>307</v>
      </c>
      <c r="B39" s="293">
        <v>25</v>
      </c>
      <c r="C39" s="303">
        <v>0</v>
      </c>
      <c r="D39" s="303">
        <v>4500</v>
      </c>
      <c r="E39" s="303">
        <v>5000</v>
      </c>
    </row>
    <row r="40" spans="1:5" ht="20.25" customHeight="1">
      <c r="A40" s="293" t="s">
        <v>308</v>
      </c>
      <c r="B40" s="293">
        <v>26</v>
      </c>
      <c r="C40" s="303">
        <v>14000</v>
      </c>
      <c r="D40" s="303">
        <v>10000</v>
      </c>
      <c r="E40" s="303">
        <v>11000</v>
      </c>
    </row>
    <row r="41" spans="1:5" ht="20.25" customHeight="1">
      <c r="A41" s="293" t="s">
        <v>309</v>
      </c>
      <c r="B41" s="293">
        <v>27</v>
      </c>
      <c r="C41" s="303">
        <v>14011</v>
      </c>
      <c r="D41" s="303">
        <v>20700</v>
      </c>
      <c r="E41" s="303">
        <v>21000</v>
      </c>
    </row>
    <row r="42" spans="1:5" ht="20.25" customHeight="1">
      <c r="A42" s="293" t="s">
        <v>310</v>
      </c>
      <c r="B42" s="293">
        <v>28</v>
      </c>
      <c r="C42" s="303">
        <v>1073</v>
      </c>
      <c r="D42" s="303">
        <v>1000</v>
      </c>
      <c r="E42" s="303">
        <v>1000</v>
      </c>
    </row>
    <row r="43" spans="1:5" ht="20.25" customHeight="1">
      <c r="A43" s="293" t="s">
        <v>311</v>
      </c>
      <c r="B43" s="293">
        <v>29</v>
      </c>
      <c r="C43" s="293">
        <v>58982</v>
      </c>
      <c r="D43" s="293">
        <v>50000</v>
      </c>
      <c r="E43" s="293">
        <v>50000</v>
      </c>
    </row>
    <row r="44" spans="1:5" ht="20.25" customHeight="1">
      <c r="A44" s="293" t="s">
        <v>312</v>
      </c>
      <c r="B44" s="293">
        <v>30</v>
      </c>
      <c r="C44" s="303">
        <v>0</v>
      </c>
      <c r="D44" s="303"/>
      <c r="E44" s="303"/>
    </row>
    <row r="45" spans="1:5" ht="20.25" customHeight="1">
      <c r="A45" s="293" t="s">
        <v>313</v>
      </c>
      <c r="B45" s="293">
        <v>31</v>
      </c>
      <c r="C45" s="293"/>
      <c r="D45" s="293"/>
      <c r="E45" s="293"/>
    </row>
    <row r="46" spans="1:5" ht="28.5" customHeight="1">
      <c r="A46" s="302" t="s">
        <v>314</v>
      </c>
      <c r="B46" s="293">
        <v>32</v>
      </c>
      <c r="C46" s="293">
        <v>1000</v>
      </c>
      <c r="D46" s="293">
        <v>1100</v>
      </c>
      <c r="E46" s="293">
        <v>1200</v>
      </c>
    </row>
    <row r="47" spans="1:5" ht="20.25" customHeight="1">
      <c r="A47" s="293" t="s">
        <v>315</v>
      </c>
      <c r="B47" s="293">
        <v>33</v>
      </c>
      <c r="C47" s="293"/>
      <c r="D47" s="293"/>
      <c r="E47" s="293"/>
    </row>
    <row r="48" spans="1:5" ht="20.25" customHeight="1">
      <c r="A48" s="293" t="s">
        <v>316</v>
      </c>
      <c r="B48" s="293">
        <v>34</v>
      </c>
      <c r="C48" s="293"/>
      <c r="D48" s="293"/>
      <c r="E48" s="293"/>
    </row>
    <row r="49" spans="1:5" ht="20.25" customHeight="1">
      <c r="A49" s="293" t="s">
        <v>317</v>
      </c>
      <c r="B49" s="293">
        <v>35</v>
      </c>
      <c r="C49" s="293"/>
      <c r="D49" s="293"/>
      <c r="E49" s="293"/>
    </row>
    <row r="50" spans="1:5" ht="20.25" customHeight="1">
      <c r="A50" s="293" t="s">
        <v>318</v>
      </c>
      <c r="B50" s="293">
        <v>36</v>
      </c>
      <c r="C50" s="303">
        <v>112581</v>
      </c>
      <c r="D50" s="303">
        <v>150000</v>
      </c>
      <c r="E50" s="303"/>
    </row>
    <row r="51" spans="1:5" ht="21" customHeight="1">
      <c r="A51" s="301" t="s">
        <v>319</v>
      </c>
      <c r="B51" s="301">
        <v>37</v>
      </c>
      <c r="C51" s="304">
        <f>SUM(C39:C50)</f>
        <v>201647</v>
      </c>
      <c r="D51" s="304">
        <f>SUM(D39:D50)</f>
        <v>237300</v>
      </c>
      <c r="E51" s="304">
        <f>SUM(E39:E50)</f>
        <v>89200</v>
      </c>
    </row>
    <row r="52" spans="1:5" ht="20.25" customHeight="1">
      <c r="A52" s="293" t="s">
        <v>320</v>
      </c>
      <c r="B52" s="293">
        <v>38</v>
      </c>
      <c r="C52" s="303">
        <v>174172</v>
      </c>
      <c r="D52" s="303">
        <v>190949</v>
      </c>
      <c r="E52" s="303">
        <v>28128</v>
      </c>
    </row>
    <row r="53" spans="1:5" ht="20.25" customHeight="1">
      <c r="A53" s="293" t="s">
        <v>321</v>
      </c>
      <c r="B53" s="293">
        <v>39</v>
      </c>
      <c r="C53" s="303">
        <v>15875</v>
      </c>
      <c r="D53" s="303">
        <v>15000</v>
      </c>
      <c r="E53" s="303">
        <v>15000</v>
      </c>
    </row>
    <row r="54" spans="1:5" ht="20.25" customHeight="1">
      <c r="A54" s="302" t="s">
        <v>322</v>
      </c>
      <c r="B54" s="293">
        <v>40</v>
      </c>
      <c r="C54" s="293">
        <v>1000</v>
      </c>
      <c r="D54" s="293">
        <v>1100</v>
      </c>
      <c r="E54" s="293">
        <v>1200</v>
      </c>
    </row>
    <row r="55" spans="1:5" ht="20.25" customHeight="1">
      <c r="A55" s="293" t="s">
        <v>164</v>
      </c>
      <c r="B55" s="293">
        <v>41</v>
      </c>
      <c r="C55" s="303"/>
      <c r="D55" s="303"/>
      <c r="E55" s="303"/>
    </row>
    <row r="56" spans="1:5" ht="20.25" customHeight="1">
      <c r="A56" s="293" t="s">
        <v>162</v>
      </c>
      <c r="B56" s="293">
        <v>42</v>
      </c>
      <c r="C56" s="293"/>
      <c r="D56" s="293"/>
      <c r="E56" s="293"/>
    </row>
    <row r="57" spans="1:5" ht="20.25" customHeight="1">
      <c r="A57" s="293" t="s">
        <v>323</v>
      </c>
      <c r="B57" s="293">
        <v>43</v>
      </c>
      <c r="C57" s="293"/>
      <c r="D57" s="293"/>
      <c r="E57" s="293"/>
    </row>
    <row r="58" spans="1:5" ht="20.25" customHeight="1">
      <c r="A58" s="293" t="s">
        <v>324</v>
      </c>
      <c r="B58" s="293">
        <v>44</v>
      </c>
      <c r="C58" s="293"/>
      <c r="D58" s="293"/>
      <c r="E58" s="293"/>
    </row>
    <row r="59" spans="1:5" ht="20.25" customHeight="1">
      <c r="A59" s="293" t="s">
        <v>325</v>
      </c>
      <c r="B59" s="293">
        <v>45</v>
      </c>
      <c r="C59" s="303">
        <v>6116</v>
      </c>
      <c r="D59" s="303">
        <v>6519</v>
      </c>
      <c r="E59" s="303">
        <f>6822+15000</f>
        <v>21822</v>
      </c>
    </row>
    <row r="60" spans="1:5" ht="20.25" customHeight="1">
      <c r="A60" s="293" t="s">
        <v>326</v>
      </c>
      <c r="B60" s="293">
        <v>46</v>
      </c>
      <c r="C60" s="303">
        <v>25935</v>
      </c>
      <c r="D60" s="303">
        <f>7732+16000</f>
        <v>23732</v>
      </c>
      <c r="E60" s="303">
        <f>7050+16000</f>
        <v>23050</v>
      </c>
    </row>
    <row r="61" spans="1:5" ht="20.25" customHeight="1">
      <c r="A61" s="293" t="s">
        <v>327</v>
      </c>
      <c r="B61" s="293">
        <v>47</v>
      </c>
      <c r="C61" s="293"/>
      <c r="D61" s="293"/>
      <c r="E61" s="293"/>
    </row>
    <row r="62" spans="1:5" ht="20.25" customHeight="1">
      <c r="A62" s="293" t="s">
        <v>157</v>
      </c>
      <c r="B62" s="293">
        <v>48</v>
      </c>
      <c r="C62" s="303"/>
      <c r="D62" s="303"/>
      <c r="E62" s="303"/>
    </row>
    <row r="63" spans="1:5" ht="21" customHeight="1">
      <c r="A63" s="301" t="s">
        <v>328</v>
      </c>
      <c r="B63" s="301">
        <v>49</v>
      </c>
      <c r="C63" s="304">
        <f>SUM(C52:C62)</f>
        <v>223098</v>
      </c>
      <c r="D63" s="304">
        <f>SUM(D52:D62)</f>
        <v>237300</v>
      </c>
      <c r="E63" s="304">
        <f>SUM(E52:E62)</f>
        <v>89200</v>
      </c>
    </row>
    <row r="64" spans="1:5" ht="21" customHeight="1">
      <c r="A64" s="301" t="s">
        <v>329</v>
      </c>
      <c r="B64" s="301">
        <v>50</v>
      </c>
      <c r="C64" s="304">
        <f>SUM(C17,C51)</f>
        <v>1373241</v>
      </c>
      <c r="D64" s="304">
        <f>SUM(D17,D51)</f>
        <v>1356000</v>
      </c>
      <c r="E64" s="304">
        <f>SUM(E17,E51)</f>
        <v>1240000</v>
      </c>
    </row>
    <row r="65" spans="1:7" ht="21" customHeight="1">
      <c r="A65" s="301" t="s">
        <v>330</v>
      </c>
      <c r="B65" s="301">
        <v>51</v>
      </c>
      <c r="C65" s="304">
        <f>SUM(C30,C63)</f>
        <v>1373241</v>
      </c>
      <c r="D65" s="304">
        <f>SUM(D30,D63)</f>
        <v>1356000</v>
      </c>
      <c r="E65" s="304">
        <f>SUM(E30,E63)</f>
        <v>1240000</v>
      </c>
      <c r="F65" s="336"/>
      <c r="G65" s="336"/>
    </row>
  </sheetData>
  <mergeCells count="2">
    <mergeCell ref="A1:E1"/>
    <mergeCell ref="A6:E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&amp;L&amp;"Arial,Dőlt"Vámospércs Városi Önkormányzat&amp;R&amp;"Arial,Dőlt"13.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B1">
      <selection activeCell="N38" sqref="N38"/>
    </sheetView>
  </sheetViews>
  <sheetFormatPr defaultColWidth="9.140625" defaultRowHeight="12.75"/>
  <cols>
    <col min="1" max="1" width="5.8515625" style="314" customWidth="1"/>
    <col min="2" max="2" width="31.421875" style="58" customWidth="1"/>
    <col min="3" max="3" width="8.57421875" style="58" customWidth="1"/>
    <col min="4" max="4" width="7.28125" style="58" customWidth="1"/>
    <col min="5" max="5" width="9.140625" style="58" customWidth="1"/>
    <col min="6" max="6" width="8.28125" style="58" customWidth="1"/>
    <col min="7" max="7" width="9.00390625" style="58" customWidth="1"/>
    <col min="8" max="8" width="8.8515625" style="58" customWidth="1"/>
  </cols>
  <sheetData>
    <row r="1" spans="1:8" ht="12.75">
      <c r="A1" s="659" t="s">
        <v>331</v>
      </c>
      <c r="B1" s="660"/>
      <c r="C1" s="660"/>
      <c r="D1" s="660"/>
      <c r="E1" s="660"/>
      <c r="F1" s="660"/>
      <c r="G1" s="660"/>
      <c r="H1" s="660"/>
    </row>
    <row r="2" spans="1:8" ht="12.75">
      <c r="A2" s="660"/>
      <c r="B2" s="660"/>
      <c r="C2" s="660"/>
      <c r="D2" s="660"/>
      <c r="E2" s="660"/>
      <c r="F2" s="660"/>
      <c r="G2" s="660"/>
      <c r="H2" s="660"/>
    </row>
    <row r="3" spans="1:8" ht="12.75">
      <c r="A3" s="660"/>
      <c r="B3" s="660"/>
      <c r="C3" s="660"/>
      <c r="D3" s="660"/>
      <c r="E3" s="660"/>
      <c r="F3" s="660"/>
      <c r="G3" s="660"/>
      <c r="H3" s="660"/>
    </row>
    <row r="4" spans="1:8" ht="12.75">
      <c r="A4" s="661" t="s">
        <v>332</v>
      </c>
      <c r="B4" s="661"/>
      <c r="C4" s="661"/>
      <c r="D4" s="661"/>
      <c r="E4" s="661"/>
      <c r="F4" s="661"/>
      <c r="G4" s="661"/>
      <c r="H4" s="661"/>
    </row>
    <row r="5" spans="1:8" ht="12.75">
      <c r="A5" s="306"/>
      <c r="B5" s="299"/>
      <c r="C5" s="299"/>
      <c r="D5" s="299"/>
      <c r="E5" s="299"/>
      <c r="F5" s="299"/>
      <c r="G5" s="299"/>
      <c r="H5" s="307" t="s">
        <v>333</v>
      </c>
    </row>
    <row r="6" spans="1:8" ht="12.75">
      <c r="A6" s="662" t="s">
        <v>334</v>
      </c>
      <c r="B6" s="663" t="s">
        <v>159</v>
      </c>
      <c r="C6" s="664" t="s">
        <v>92</v>
      </c>
      <c r="D6" s="664" t="s">
        <v>335</v>
      </c>
      <c r="E6" s="664" t="s">
        <v>336</v>
      </c>
      <c r="F6" s="664" t="s">
        <v>337</v>
      </c>
      <c r="G6" s="664" t="s">
        <v>338</v>
      </c>
      <c r="H6" s="664" t="s">
        <v>145</v>
      </c>
    </row>
    <row r="7" spans="1:8" ht="12.75">
      <c r="A7" s="645"/>
      <c r="B7" s="645"/>
      <c r="C7" s="555"/>
      <c r="D7" s="555"/>
      <c r="E7" s="555"/>
      <c r="F7" s="555"/>
      <c r="G7" s="555"/>
      <c r="H7" s="555"/>
    </row>
    <row r="8" spans="1:8" ht="12.75">
      <c r="A8" s="645"/>
      <c r="B8" s="645"/>
      <c r="C8" s="556"/>
      <c r="D8" s="556"/>
      <c r="E8" s="556"/>
      <c r="F8" s="556"/>
      <c r="G8" s="556"/>
      <c r="H8" s="556"/>
    </row>
    <row r="9" spans="1:8" ht="12.75">
      <c r="A9" s="308" t="s">
        <v>100</v>
      </c>
      <c r="B9" s="309" t="s">
        <v>95</v>
      </c>
      <c r="C9" s="310"/>
      <c r="D9" s="310"/>
      <c r="E9" s="310"/>
      <c r="F9" s="310"/>
      <c r="G9" s="310"/>
      <c r="H9" s="310"/>
    </row>
    <row r="10" spans="1:8" ht="12.75">
      <c r="A10" s="308"/>
      <c r="B10" s="309" t="s">
        <v>339</v>
      </c>
      <c r="C10" s="310"/>
      <c r="D10" s="310"/>
      <c r="E10" s="310"/>
      <c r="F10" s="310"/>
      <c r="G10" s="310"/>
      <c r="H10" s="310"/>
    </row>
    <row r="11" spans="1:8" ht="12.75">
      <c r="A11" s="311"/>
      <c r="B11" s="293"/>
      <c r="C11" s="303"/>
      <c r="D11" s="303"/>
      <c r="E11" s="310"/>
      <c r="F11" s="303"/>
      <c r="G11" s="303"/>
      <c r="H11" s="303"/>
    </row>
    <row r="12" spans="1:8" ht="12.75">
      <c r="A12" s="311"/>
      <c r="B12" s="293"/>
      <c r="C12" s="303"/>
      <c r="D12" s="303"/>
      <c r="E12" s="310"/>
      <c r="F12" s="303"/>
      <c r="G12" s="303"/>
      <c r="H12" s="303"/>
    </row>
    <row r="13" spans="1:8" ht="12.75">
      <c r="A13" s="311"/>
      <c r="B13" s="293" t="s">
        <v>340</v>
      </c>
      <c r="C13" s="303">
        <v>1038</v>
      </c>
      <c r="D13" s="303">
        <v>355</v>
      </c>
      <c r="E13" s="310"/>
      <c r="F13" s="303"/>
      <c r="G13" s="303"/>
      <c r="H13" s="303">
        <f aca="true" t="shared" si="0" ref="H13:H56">SUM(C13:G13)</f>
        <v>1393</v>
      </c>
    </row>
    <row r="14" spans="1:8" ht="12.75">
      <c r="A14" s="311"/>
      <c r="B14" s="293" t="s">
        <v>341</v>
      </c>
      <c r="C14" s="303">
        <v>6000</v>
      </c>
      <c r="D14" s="303">
        <v>1920</v>
      </c>
      <c r="E14" s="310"/>
      <c r="F14" s="303"/>
      <c r="G14" s="303"/>
      <c r="H14" s="303">
        <f t="shared" si="0"/>
        <v>7920</v>
      </c>
    </row>
    <row r="15" spans="1:8" ht="12.75">
      <c r="A15" s="308"/>
      <c r="B15" s="309" t="s">
        <v>342</v>
      </c>
      <c r="C15" s="310">
        <v>5000</v>
      </c>
      <c r="D15" s="310">
        <v>1600</v>
      </c>
      <c r="E15" s="310"/>
      <c r="F15" s="310"/>
      <c r="G15" s="310"/>
      <c r="H15" s="303">
        <f t="shared" si="0"/>
        <v>6600</v>
      </c>
    </row>
    <row r="16" spans="1:8" ht="12.75">
      <c r="A16" s="311"/>
      <c r="B16" s="293" t="s">
        <v>343</v>
      </c>
      <c r="C16" s="303">
        <v>1737</v>
      </c>
      <c r="D16" s="303">
        <v>580</v>
      </c>
      <c r="E16" s="310"/>
      <c r="F16" s="303"/>
      <c r="G16" s="303"/>
      <c r="H16" s="303">
        <f t="shared" si="0"/>
        <v>2317</v>
      </c>
    </row>
    <row r="17" spans="1:8" ht="12.75">
      <c r="A17" s="311"/>
      <c r="B17" s="293" t="s">
        <v>344</v>
      </c>
      <c r="C17" s="303">
        <v>523</v>
      </c>
      <c r="D17" s="303">
        <v>187</v>
      </c>
      <c r="E17" s="310"/>
      <c r="F17" s="303"/>
      <c r="G17" s="303"/>
      <c r="H17" s="303">
        <f t="shared" si="0"/>
        <v>710</v>
      </c>
    </row>
    <row r="18" spans="1:8" ht="12.75">
      <c r="A18" s="311"/>
      <c r="B18" s="293"/>
      <c r="C18" s="303"/>
      <c r="D18" s="303"/>
      <c r="E18" s="310"/>
      <c r="F18" s="303"/>
      <c r="G18" s="303"/>
      <c r="H18" s="303"/>
    </row>
    <row r="19" spans="1:8" ht="12.75">
      <c r="A19" s="311"/>
      <c r="B19" s="293"/>
      <c r="C19" s="303"/>
      <c r="D19" s="303"/>
      <c r="E19" s="310"/>
      <c r="F19" s="303"/>
      <c r="G19" s="303"/>
      <c r="H19" s="303"/>
    </row>
    <row r="20" spans="1:8" ht="12.75">
      <c r="A20" s="311"/>
      <c r="B20" s="293" t="s">
        <v>345</v>
      </c>
      <c r="C20" s="303"/>
      <c r="D20" s="303"/>
      <c r="E20" s="310">
        <v>432</v>
      </c>
      <c r="F20" s="303"/>
      <c r="G20" s="303"/>
      <c r="H20" s="303">
        <f t="shared" si="0"/>
        <v>432</v>
      </c>
    </row>
    <row r="21" spans="1:8" ht="12.75">
      <c r="A21" s="311"/>
      <c r="B21" s="293" t="s">
        <v>346</v>
      </c>
      <c r="C21" s="303"/>
      <c r="D21" s="303"/>
      <c r="E21" s="310"/>
      <c r="F21" s="303"/>
      <c r="G21" s="303">
        <v>1000</v>
      </c>
      <c r="H21" s="303">
        <f t="shared" si="0"/>
        <v>1000</v>
      </c>
    </row>
    <row r="22" spans="1:8" ht="12.75">
      <c r="A22" s="311"/>
      <c r="B22" s="293" t="s">
        <v>347</v>
      </c>
      <c r="C22" s="303"/>
      <c r="D22" s="303"/>
      <c r="E22" s="310"/>
      <c r="F22" s="303"/>
      <c r="G22" s="303">
        <v>1722</v>
      </c>
      <c r="H22" s="303">
        <f t="shared" si="0"/>
        <v>1722</v>
      </c>
    </row>
    <row r="23" spans="1:8" ht="12.75">
      <c r="A23" s="311"/>
      <c r="B23" s="293" t="s">
        <v>348</v>
      </c>
      <c r="C23" s="303"/>
      <c r="D23" s="303"/>
      <c r="E23" s="310"/>
      <c r="F23" s="303"/>
      <c r="G23" s="303">
        <v>2400</v>
      </c>
      <c r="H23" s="303">
        <f t="shared" si="0"/>
        <v>2400</v>
      </c>
    </row>
    <row r="24" spans="1:8" ht="12.75">
      <c r="A24" s="311"/>
      <c r="B24" s="293" t="s">
        <v>349</v>
      </c>
      <c r="C24" s="303"/>
      <c r="D24" s="303"/>
      <c r="E24" s="310"/>
      <c r="F24" s="303">
        <v>6840</v>
      </c>
      <c r="G24" s="303"/>
      <c r="H24" s="303">
        <f t="shared" si="0"/>
        <v>6840</v>
      </c>
    </row>
    <row r="25" spans="1:8" ht="12.75">
      <c r="A25" s="311"/>
      <c r="B25" s="293"/>
      <c r="C25" s="303"/>
      <c r="D25" s="303"/>
      <c r="E25" s="310"/>
      <c r="F25" s="303"/>
      <c r="G25" s="303"/>
      <c r="H25" s="303">
        <f t="shared" si="0"/>
        <v>0</v>
      </c>
    </row>
    <row r="26" spans="1:8" ht="12.75">
      <c r="A26" s="308"/>
      <c r="B26" s="309" t="s">
        <v>350</v>
      </c>
      <c r="C26" s="310"/>
      <c r="D26" s="310"/>
      <c r="E26" s="310"/>
      <c r="F26" s="310"/>
      <c r="G26" s="310"/>
      <c r="H26" s="303">
        <f t="shared" si="0"/>
        <v>0</v>
      </c>
    </row>
    <row r="27" spans="1:8" ht="12.75">
      <c r="A27" s="311"/>
      <c r="B27" s="293" t="s">
        <v>351</v>
      </c>
      <c r="C27" s="303"/>
      <c r="D27" s="303"/>
      <c r="E27" s="310">
        <v>360</v>
      </c>
      <c r="F27" s="303"/>
      <c r="G27" s="303"/>
      <c r="H27" s="303">
        <f t="shared" si="0"/>
        <v>360</v>
      </c>
    </row>
    <row r="28" spans="1:8" ht="12.75">
      <c r="A28" s="311"/>
      <c r="B28" s="293"/>
      <c r="C28" s="303"/>
      <c r="D28" s="303"/>
      <c r="E28" s="310"/>
      <c r="F28" s="303"/>
      <c r="G28" s="303"/>
      <c r="H28" s="303">
        <f t="shared" si="0"/>
        <v>0</v>
      </c>
    </row>
    <row r="29" spans="1:8" ht="12.75">
      <c r="A29" s="311"/>
      <c r="B29" s="293" t="s">
        <v>352</v>
      </c>
      <c r="C29" s="303"/>
      <c r="D29" s="303"/>
      <c r="E29" s="310"/>
      <c r="F29" s="303"/>
      <c r="G29" s="303"/>
      <c r="H29" s="303">
        <f t="shared" si="0"/>
        <v>0</v>
      </c>
    </row>
    <row r="30" spans="1:8" ht="12.75">
      <c r="A30" s="311"/>
      <c r="B30" s="293" t="s">
        <v>353</v>
      </c>
      <c r="C30" s="303"/>
      <c r="D30" s="303"/>
      <c r="E30" s="310">
        <v>200</v>
      </c>
      <c r="F30" s="303"/>
      <c r="G30" s="303"/>
      <c r="H30" s="303">
        <f t="shared" si="0"/>
        <v>200</v>
      </c>
    </row>
    <row r="31" spans="1:8" ht="12.75">
      <c r="A31" s="311"/>
      <c r="B31" s="293" t="s">
        <v>354</v>
      </c>
      <c r="C31" s="303"/>
      <c r="D31" s="303"/>
      <c r="E31" s="310">
        <v>240</v>
      </c>
      <c r="F31" s="303"/>
      <c r="G31" s="303"/>
      <c r="H31" s="303">
        <f t="shared" si="0"/>
        <v>240</v>
      </c>
    </row>
    <row r="32" spans="1:8" ht="12.75">
      <c r="A32" s="311"/>
      <c r="B32" s="293" t="s">
        <v>355</v>
      </c>
      <c r="C32" s="303"/>
      <c r="D32" s="303"/>
      <c r="E32" s="310"/>
      <c r="F32" s="303"/>
      <c r="G32" s="303"/>
      <c r="H32" s="303">
        <f t="shared" si="0"/>
        <v>0</v>
      </c>
    </row>
    <row r="33" spans="1:8" ht="12.75">
      <c r="A33" s="311"/>
      <c r="B33" s="293" t="s">
        <v>356</v>
      </c>
      <c r="C33" s="303"/>
      <c r="D33" s="303"/>
      <c r="E33" s="310"/>
      <c r="F33" s="303"/>
      <c r="G33" s="303"/>
      <c r="H33" s="303">
        <f t="shared" si="0"/>
        <v>0</v>
      </c>
    </row>
    <row r="34" spans="1:8" ht="12.75">
      <c r="A34" s="311"/>
      <c r="B34" s="293" t="s">
        <v>357</v>
      </c>
      <c r="C34" s="303"/>
      <c r="D34" s="303"/>
      <c r="E34" s="310">
        <v>1200</v>
      </c>
      <c r="F34" s="303"/>
      <c r="G34" s="303"/>
      <c r="H34" s="303">
        <f t="shared" si="0"/>
        <v>1200</v>
      </c>
    </row>
    <row r="35" spans="1:8" ht="12.75">
      <c r="A35" s="311"/>
      <c r="B35" s="293"/>
      <c r="C35" s="303"/>
      <c r="D35" s="303"/>
      <c r="E35" s="310"/>
      <c r="F35" s="303"/>
      <c r="G35" s="303"/>
      <c r="H35" s="303">
        <f t="shared" si="0"/>
        <v>0</v>
      </c>
    </row>
    <row r="36" spans="1:8" ht="12.75">
      <c r="A36" s="311"/>
      <c r="B36" s="293" t="s">
        <v>358</v>
      </c>
      <c r="C36" s="303">
        <f>SUM(C11:C35)</f>
        <v>14298</v>
      </c>
      <c r="D36" s="303">
        <f>SUM(D11:D35)</f>
        <v>4642</v>
      </c>
      <c r="E36" s="303">
        <f>SUM(E11:E35)</f>
        <v>2432</v>
      </c>
      <c r="F36" s="303">
        <f>SUM(F11:F35)</f>
        <v>6840</v>
      </c>
      <c r="G36" s="303">
        <f>SUM(G11:G35)</f>
        <v>5122</v>
      </c>
      <c r="H36" s="303">
        <f t="shared" si="0"/>
        <v>33334</v>
      </c>
    </row>
    <row r="37" spans="1:8" ht="12.75">
      <c r="A37" s="308"/>
      <c r="B37" s="309"/>
      <c r="C37" s="310"/>
      <c r="D37" s="310"/>
      <c r="E37" s="310"/>
      <c r="F37" s="310"/>
      <c r="G37" s="310"/>
      <c r="H37" s="303">
        <f t="shared" si="0"/>
        <v>0</v>
      </c>
    </row>
    <row r="38" spans="1:8" ht="12.75">
      <c r="A38" s="311" t="s">
        <v>101</v>
      </c>
      <c r="B38" s="293" t="s">
        <v>359</v>
      </c>
      <c r="C38" s="303"/>
      <c r="D38" s="303"/>
      <c r="E38" s="303"/>
      <c r="F38" s="303"/>
      <c r="G38" s="303"/>
      <c r="H38" s="303">
        <f t="shared" si="0"/>
        <v>0</v>
      </c>
    </row>
    <row r="39" spans="1:8" ht="12.75">
      <c r="A39" s="311"/>
      <c r="B39" s="293" t="s">
        <v>360</v>
      </c>
      <c r="C39" s="303"/>
      <c r="D39" s="303"/>
      <c r="E39" s="310"/>
      <c r="F39" s="303"/>
      <c r="G39" s="303"/>
      <c r="H39" s="303">
        <f t="shared" si="0"/>
        <v>0</v>
      </c>
    </row>
    <row r="40" spans="1:8" ht="12.75">
      <c r="A40" s="311"/>
      <c r="B40" s="293" t="s">
        <v>361</v>
      </c>
      <c r="C40" s="303">
        <v>1525</v>
      </c>
      <c r="D40" s="303">
        <v>460</v>
      </c>
      <c r="E40" s="310"/>
      <c r="F40" s="303"/>
      <c r="G40" s="303"/>
      <c r="H40" s="303">
        <f t="shared" si="0"/>
        <v>1985</v>
      </c>
    </row>
    <row r="41" spans="1:8" ht="12.75">
      <c r="A41" s="311"/>
      <c r="B41" s="293"/>
      <c r="C41" s="303"/>
      <c r="D41" s="303"/>
      <c r="E41" s="310"/>
      <c r="F41" s="303"/>
      <c r="G41" s="303"/>
      <c r="H41" s="303">
        <f t="shared" si="0"/>
        <v>0</v>
      </c>
    </row>
    <row r="42" spans="1:8" ht="12.75">
      <c r="A42" s="311"/>
      <c r="B42" s="293"/>
      <c r="C42" s="303"/>
      <c r="D42" s="303"/>
      <c r="E42" s="303"/>
      <c r="F42" s="303"/>
      <c r="G42" s="303"/>
      <c r="H42" s="303">
        <f t="shared" si="0"/>
        <v>0</v>
      </c>
    </row>
    <row r="43" spans="1:8" ht="12.75">
      <c r="A43" s="311"/>
      <c r="B43" s="293"/>
      <c r="C43" s="303"/>
      <c r="D43" s="303"/>
      <c r="E43" s="310"/>
      <c r="F43" s="303"/>
      <c r="G43" s="303"/>
      <c r="H43" s="303">
        <f t="shared" si="0"/>
        <v>0</v>
      </c>
    </row>
    <row r="44" spans="1:8" ht="12.75">
      <c r="A44" s="311"/>
      <c r="B44" s="293"/>
      <c r="C44" s="303"/>
      <c r="D44" s="303"/>
      <c r="E44" s="310"/>
      <c r="F44" s="303"/>
      <c r="G44" s="303"/>
      <c r="H44" s="303">
        <f t="shared" si="0"/>
        <v>0</v>
      </c>
    </row>
    <row r="45" spans="1:8" ht="12.75">
      <c r="A45" s="311"/>
      <c r="B45" s="293"/>
      <c r="C45" s="303"/>
      <c r="D45" s="303"/>
      <c r="E45" s="310"/>
      <c r="F45" s="303"/>
      <c r="G45" s="303"/>
      <c r="H45" s="303">
        <f t="shared" si="0"/>
        <v>0</v>
      </c>
    </row>
    <row r="46" spans="1:8" ht="12.75">
      <c r="A46" s="311"/>
      <c r="B46" s="293"/>
      <c r="C46" s="303"/>
      <c r="D46" s="303"/>
      <c r="E46" s="310"/>
      <c r="F46" s="303"/>
      <c r="G46" s="303"/>
      <c r="H46" s="303">
        <f t="shared" si="0"/>
        <v>0</v>
      </c>
    </row>
    <row r="47" spans="1:8" ht="12.75">
      <c r="A47" s="311"/>
      <c r="B47" s="293"/>
      <c r="C47" s="303"/>
      <c r="D47" s="303"/>
      <c r="E47" s="310"/>
      <c r="F47" s="303"/>
      <c r="G47" s="303"/>
      <c r="H47" s="303">
        <f t="shared" si="0"/>
        <v>0</v>
      </c>
    </row>
    <row r="48" spans="1:8" ht="12.75">
      <c r="A48" s="311"/>
      <c r="B48" s="293"/>
      <c r="C48" s="303"/>
      <c r="D48" s="303"/>
      <c r="E48" s="310"/>
      <c r="F48" s="303"/>
      <c r="G48" s="303"/>
      <c r="H48" s="303">
        <f t="shared" si="0"/>
        <v>0</v>
      </c>
    </row>
    <row r="49" spans="1:8" ht="12.75">
      <c r="A49" s="308"/>
      <c r="B49" s="309"/>
      <c r="C49" s="310"/>
      <c r="D49" s="310"/>
      <c r="E49" s="310"/>
      <c r="F49" s="310"/>
      <c r="G49" s="310"/>
      <c r="H49" s="303">
        <f t="shared" si="0"/>
        <v>0</v>
      </c>
    </row>
    <row r="50" spans="1:8" ht="12.75">
      <c r="A50" s="311"/>
      <c r="B50" s="293"/>
      <c r="C50" s="303"/>
      <c r="D50" s="303"/>
      <c r="E50" s="310"/>
      <c r="F50" s="303"/>
      <c r="G50" s="303"/>
      <c r="H50" s="303">
        <f t="shared" si="0"/>
        <v>0</v>
      </c>
    </row>
    <row r="51" spans="1:8" ht="12.75">
      <c r="A51" s="311"/>
      <c r="B51" s="293"/>
      <c r="C51" s="303"/>
      <c r="D51" s="303"/>
      <c r="E51" s="310"/>
      <c r="F51" s="303"/>
      <c r="G51" s="303"/>
      <c r="H51" s="303">
        <f t="shared" si="0"/>
        <v>0</v>
      </c>
    </row>
    <row r="52" spans="1:8" ht="12.75">
      <c r="A52" s="311"/>
      <c r="B52" s="293"/>
      <c r="C52" s="303"/>
      <c r="D52" s="303"/>
      <c r="E52" s="310"/>
      <c r="F52" s="303"/>
      <c r="G52" s="303"/>
      <c r="H52" s="303">
        <f t="shared" si="0"/>
        <v>0</v>
      </c>
    </row>
    <row r="53" spans="1:8" ht="12.75">
      <c r="A53" s="308"/>
      <c r="B53" s="309"/>
      <c r="C53" s="310"/>
      <c r="D53" s="310"/>
      <c r="E53" s="310"/>
      <c r="F53" s="310"/>
      <c r="G53" s="310"/>
      <c r="H53" s="303">
        <f t="shared" si="0"/>
        <v>0</v>
      </c>
    </row>
    <row r="54" spans="1:8" ht="12.75">
      <c r="A54" s="308"/>
      <c r="B54" s="309"/>
      <c r="C54" s="310"/>
      <c r="D54" s="310"/>
      <c r="E54" s="310"/>
      <c r="F54" s="310"/>
      <c r="G54" s="310"/>
      <c r="H54" s="303">
        <f t="shared" si="0"/>
        <v>0</v>
      </c>
    </row>
    <row r="55" spans="1:8" ht="12.75">
      <c r="A55" s="308"/>
      <c r="B55" s="309"/>
      <c r="C55" s="310"/>
      <c r="D55" s="310"/>
      <c r="E55" s="310"/>
      <c r="F55" s="310"/>
      <c r="G55" s="310"/>
      <c r="H55" s="303">
        <f t="shared" si="0"/>
        <v>0</v>
      </c>
    </row>
    <row r="56" spans="1:8" ht="12.75">
      <c r="A56" s="311"/>
      <c r="B56" s="293"/>
      <c r="C56" s="303"/>
      <c r="D56" s="303"/>
      <c r="E56" s="310"/>
      <c r="F56" s="303"/>
      <c r="G56" s="303"/>
      <c r="H56" s="303">
        <f t="shared" si="0"/>
        <v>0</v>
      </c>
    </row>
    <row r="57" spans="1:8" ht="12.75">
      <c r="A57" s="308"/>
      <c r="B57" s="312" t="s">
        <v>274</v>
      </c>
      <c r="C57" s="313">
        <f aca="true" t="shared" si="1" ref="C57:H57">SUM(C36,C40)</f>
        <v>15823</v>
      </c>
      <c r="D57" s="313">
        <f t="shared" si="1"/>
        <v>5102</v>
      </c>
      <c r="E57" s="313">
        <f t="shared" si="1"/>
        <v>2432</v>
      </c>
      <c r="F57" s="313">
        <f t="shared" si="1"/>
        <v>6840</v>
      </c>
      <c r="G57" s="313">
        <f t="shared" si="1"/>
        <v>5122</v>
      </c>
      <c r="H57" s="313">
        <f t="shared" si="1"/>
        <v>35319</v>
      </c>
    </row>
  </sheetData>
  <mergeCells count="10">
    <mergeCell ref="A1:H3"/>
    <mergeCell ref="A4:H4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7" sqref="C17"/>
    </sheetView>
  </sheetViews>
  <sheetFormatPr defaultColWidth="9.140625" defaultRowHeight="12.75"/>
  <cols>
    <col min="3" max="3" width="61.421875" style="0" customWidth="1"/>
  </cols>
  <sheetData>
    <row r="1" spans="1:3" ht="71.25" customHeight="1">
      <c r="A1" s="563" t="s">
        <v>31</v>
      </c>
      <c r="B1" s="563"/>
      <c r="C1" s="563"/>
    </row>
    <row r="2" spans="1:3" ht="22.5" customHeight="1">
      <c r="A2" s="431" t="s">
        <v>32</v>
      </c>
      <c r="B2" s="432" t="s">
        <v>33</v>
      </c>
      <c r="C2" s="432" t="s">
        <v>159</v>
      </c>
    </row>
    <row r="3" spans="1:3" ht="22.5" customHeight="1">
      <c r="A3" s="433" t="s">
        <v>100</v>
      </c>
      <c r="B3" s="433"/>
      <c r="C3" s="433" t="s">
        <v>511</v>
      </c>
    </row>
    <row r="4" spans="1:3" ht="22.5" customHeight="1">
      <c r="A4" s="434"/>
      <c r="B4" s="435" t="s">
        <v>100</v>
      </c>
      <c r="C4" s="436" t="s">
        <v>34</v>
      </c>
    </row>
    <row r="5" spans="1:3" ht="30">
      <c r="A5" s="434"/>
      <c r="B5" s="437" t="s">
        <v>101</v>
      </c>
      <c r="C5" s="438" t="s">
        <v>35</v>
      </c>
    </row>
    <row r="6" spans="1:3" ht="22.5" customHeight="1">
      <c r="A6" s="434"/>
      <c r="B6" s="437" t="s">
        <v>102</v>
      </c>
      <c r="C6" s="438" t="s">
        <v>212</v>
      </c>
    </row>
    <row r="7" spans="1:3" ht="30">
      <c r="A7" s="434"/>
      <c r="B7" s="437" t="s">
        <v>103</v>
      </c>
      <c r="C7" s="438" t="s">
        <v>36</v>
      </c>
    </row>
    <row r="8" spans="1:3" ht="22.5" customHeight="1">
      <c r="A8" s="434"/>
      <c r="B8" s="437" t="s">
        <v>146</v>
      </c>
      <c r="C8" s="438" t="s">
        <v>37</v>
      </c>
    </row>
    <row r="9" spans="1:3" ht="22.5" customHeight="1">
      <c r="A9" s="439"/>
      <c r="B9" s="440" t="s">
        <v>104</v>
      </c>
      <c r="C9" s="441" t="s">
        <v>38</v>
      </c>
    </row>
    <row r="10" spans="1:3" ht="22.5" customHeight="1">
      <c r="A10" s="442" t="s">
        <v>101</v>
      </c>
      <c r="B10" s="433"/>
      <c r="C10" s="433" t="s">
        <v>39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&amp;LVámospércs Városi Önkormányzat&amp;R1. számú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C18"/>
  <sheetViews>
    <sheetView workbookViewId="0" topLeftCell="A1">
      <selection activeCell="F6" sqref="F6"/>
    </sheetView>
  </sheetViews>
  <sheetFormatPr defaultColWidth="9.140625" defaultRowHeight="12.75"/>
  <cols>
    <col min="1" max="1" width="5.00390625" style="144" customWidth="1"/>
    <col min="2" max="2" width="57.140625" style="25" customWidth="1"/>
    <col min="3" max="3" width="16.7109375" style="57" customWidth="1"/>
    <col min="4" max="16384" width="8.00390625" style="24" customWidth="1"/>
  </cols>
  <sheetData>
    <row r="1" ht="42.75" customHeight="1"/>
    <row r="2" spans="1:3" s="145" customFormat="1" ht="42.75" customHeight="1">
      <c r="A2" s="665" t="s">
        <v>190</v>
      </c>
      <c r="B2" s="665"/>
      <c r="C2" s="665"/>
    </row>
    <row r="3" spans="1:3" s="145" customFormat="1" ht="42.75" customHeight="1" thickBot="1">
      <c r="A3" s="161"/>
      <c r="B3" s="161"/>
      <c r="C3" s="161"/>
    </row>
    <row r="4" spans="1:3" ht="39" customHeight="1" thickBot="1">
      <c r="A4" s="162"/>
      <c r="B4" s="159" t="s">
        <v>159</v>
      </c>
      <c r="C4" s="160" t="s">
        <v>99</v>
      </c>
    </row>
    <row r="5" spans="1:3" s="150" customFormat="1" ht="51" customHeight="1" thickBot="1">
      <c r="A5" s="31" t="s">
        <v>100</v>
      </c>
      <c r="B5" s="149" t="s">
        <v>189</v>
      </c>
      <c r="C5" s="151">
        <v>5000</v>
      </c>
    </row>
    <row r="6" spans="1:3" s="150" customFormat="1" ht="51" customHeight="1" thickBot="1">
      <c r="A6" s="31" t="s">
        <v>101</v>
      </c>
      <c r="B6" s="152" t="s">
        <v>55</v>
      </c>
      <c r="C6" s="153">
        <v>16347</v>
      </c>
    </row>
    <row r="7" spans="1:3" s="154" customFormat="1" ht="46.5" customHeight="1" thickBot="1">
      <c r="A7" s="146"/>
      <c r="B7" s="147" t="s">
        <v>141</v>
      </c>
      <c r="C7" s="148">
        <f>SUM(C5:C6)</f>
        <v>21347</v>
      </c>
    </row>
    <row r="8" spans="1:3" s="157" customFormat="1" ht="19.5" customHeight="1">
      <c r="A8" s="163"/>
      <c r="B8" s="155"/>
      <c r="C8" s="156"/>
    </row>
    <row r="9" spans="1:3" s="158" customFormat="1" ht="19.5" customHeight="1">
      <c r="A9" s="163"/>
      <c r="B9" s="155"/>
      <c r="C9" s="156"/>
    </row>
    <row r="10" spans="1:3" s="158" customFormat="1" ht="19.5" customHeight="1">
      <c r="A10" s="163"/>
      <c r="B10" s="155"/>
      <c r="C10" s="156"/>
    </row>
    <row r="11" spans="1:3" s="42" customFormat="1" ht="19.5" customHeight="1">
      <c r="A11" s="144"/>
      <c r="B11" s="25"/>
      <c r="C11" s="57"/>
    </row>
    <row r="12" spans="1:3" s="50" customFormat="1" ht="34.5" customHeight="1">
      <c r="A12" s="144"/>
      <c r="B12" s="25"/>
      <c r="C12" s="57"/>
    </row>
    <row r="13" spans="1:3" s="46" customFormat="1" ht="33.75" customHeight="1">
      <c r="A13" s="144"/>
      <c r="B13" s="25"/>
      <c r="C13" s="57"/>
    </row>
    <row r="14" spans="1:3" s="47" customFormat="1" ht="23.25" customHeight="1">
      <c r="A14" s="144"/>
      <c r="B14" s="25"/>
      <c r="C14" s="57"/>
    </row>
    <row r="15" spans="1:3" s="47" customFormat="1" ht="23.25" customHeight="1">
      <c r="A15" s="144"/>
      <c r="B15" s="25"/>
      <c r="C15" s="57"/>
    </row>
    <row r="16" spans="1:3" s="42" customFormat="1" ht="23.25" customHeight="1">
      <c r="A16" s="144"/>
      <c r="B16" s="25"/>
      <c r="C16" s="57"/>
    </row>
    <row r="17" spans="1:3" s="42" customFormat="1" ht="23.25" customHeight="1">
      <c r="A17" s="144"/>
      <c r="B17" s="25"/>
      <c r="C17" s="57"/>
    </row>
    <row r="18" spans="1:3" s="50" customFormat="1" ht="36.75" customHeight="1">
      <c r="A18" s="144"/>
      <c r="B18" s="25"/>
      <c r="C18" s="57"/>
    </row>
  </sheetData>
  <mergeCells count="1">
    <mergeCell ref="A2:C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&amp;L&amp;"Arial,Félkövér dőlt"&amp;11Vámospércs  Városi Önkormányzata&amp;R&amp;"Arial,Félkövér dőlt"&amp;11 15.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21"/>
  <sheetViews>
    <sheetView workbookViewId="0" topLeftCell="B14">
      <selection activeCell="L375" sqref="L375"/>
    </sheetView>
  </sheetViews>
  <sheetFormatPr defaultColWidth="9.140625" defaultRowHeight="12.75"/>
  <cols>
    <col min="1" max="1" width="6.57421875" style="0" customWidth="1"/>
    <col min="2" max="2" width="30.28125" style="0" customWidth="1"/>
    <col min="6" max="6" width="9.00390625" style="336" customWidth="1"/>
    <col min="7" max="7" width="6.57421875" style="0" customWidth="1"/>
    <col min="8" max="8" width="27.421875" style="0" customWidth="1"/>
    <col min="12" max="12" width="9.28125" style="336" customWidth="1"/>
  </cols>
  <sheetData>
    <row r="1" spans="1:12" ht="12.75" customHeight="1">
      <c r="A1" s="564" t="s">
        <v>362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</row>
    <row r="2" spans="1:12" ht="12.75" customHeight="1">
      <c r="A2" s="564"/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</row>
    <row r="3" spans="1:12" ht="15.75">
      <c r="A3" s="315" t="s">
        <v>363</v>
      </c>
      <c r="B3" s="58"/>
      <c r="C3" s="316"/>
      <c r="D3" s="316"/>
      <c r="E3" s="316"/>
      <c r="F3" s="316"/>
      <c r="G3" s="58"/>
      <c r="H3" s="58"/>
      <c r="I3" s="565" t="s">
        <v>364</v>
      </c>
      <c r="J3" s="566"/>
      <c r="K3" s="566"/>
      <c r="L3" s="566"/>
    </row>
    <row r="4" spans="1:12" ht="12.75" customHeight="1">
      <c r="A4" s="567" t="s">
        <v>365</v>
      </c>
      <c r="B4" s="569" t="s">
        <v>142</v>
      </c>
      <c r="C4" s="571" t="s">
        <v>155</v>
      </c>
      <c r="D4" s="571" t="s">
        <v>52</v>
      </c>
      <c r="E4" s="571" t="s">
        <v>53</v>
      </c>
      <c r="F4" s="571" t="s">
        <v>54</v>
      </c>
      <c r="G4" s="567" t="s">
        <v>365</v>
      </c>
      <c r="H4" s="569" t="s">
        <v>369</v>
      </c>
      <c r="I4" s="571" t="s">
        <v>155</v>
      </c>
      <c r="J4" s="571" t="s">
        <v>52</v>
      </c>
      <c r="K4" s="571" t="s">
        <v>53</v>
      </c>
      <c r="L4" s="571" t="s">
        <v>54</v>
      </c>
    </row>
    <row r="5" spans="1:12" ht="12.75" customHeight="1">
      <c r="A5" s="567"/>
      <c r="B5" s="569"/>
      <c r="C5" s="572"/>
      <c r="D5" s="572"/>
      <c r="E5" s="572"/>
      <c r="F5" s="574"/>
      <c r="G5" s="567"/>
      <c r="H5" s="569"/>
      <c r="I5" s="572"/>
      <c r="J5" s="572"/>
      <c r="K5" s="572"/>
      <c r="L5" s="574"/>
    </row>
    <row r="6" spans="1:12" ht="12.75">
      <c r="A6" s="568"/>
      <c r="B6" s="570"/>
      <c r="C6" s="573"/>
      <c r="D6" s="573"/>
      <c r="E6" s="573"/>
      <c r="F6" s="575"/>
      <c r="G6" s="568"/>
      <c r="H6" s="570"/>
      <c r="I6" s="573"/>
      <c r="J6" s="573"/>
      <c r="K6" s="573"/>
      <c r="L6" s="575"/>
    </row>
    <row r="7" spans="1:12" ht="12.75">
      <c r="A7" s="317" t="s">
        <v>88</v>
      </c>
      <c r="B7" s="317" t="s">
        <v>185</v>
      </c>
      <c r="C7" s="318"/>
      <c r="D7" s="318"/>
      <c r="E7" s="318"/>
      <c r="F7" s="318"/>
      <c r="G7" s="317"/>
      <c r="H7" s="317" t="s">
        <v>91</v>
      </c>
      <c r="I7" s="318">
        <f>SUM(I8:I11,I18,I19)</f>
        <v>1150143</v>
      </c>
      <c r="J7" s="318">
        <f>SUM(J8:J11,J18,J19)</f>
        <v>253</v>
      </c>
      <c r="K7" s="318">
        <f>SUM(K8:K11,K18,K19)</f>
        <v>0</v>
      </c>
      <c r="L7" s="318">
        <f>SUM(L8:L11,L18,L19)</f>
        <v>1150396</v>
      </c>
    </row>
    <row r="8" spans="1:12" ht="12.75">
      <c r="A8" s="311" t="s">
        <v>100</v>
      </c>
      <c r="B8" s="296" t="s">
        <v>370</v>
      </c>
      <c r="C8" s="320">
        <f>SUM(C51+C93)</f>
        <v>56599</v>
      </c>
      <c r="D8" s="320">
        <f>SUM(D51+D93)</f>
        <v>-5953</v>
      </c>
      <c r="E8" s="320">
        <f>SUM(E51+E93)</f>
        <v>0</v>
      </c>
      <c r="F8" s="320">
        <f>SUM(F51+F93)</f>
        <v>50646</v>
      </c>
      <c r="G8" s="317" t="s">
        <v>88</v>
      </c>
      <c r="H8" s="317" t="s">
        <v>92</v>
      </c>
      <c r="I8" s="303">
        <f aca="true" t="shared" si="0" ref="I8:J10">SUM(I51+I93)</f>
        <v>487860</v>
      </c>
      <c r="J8" s="303">
        <f t="shared" si="0"/>
        <v>-30</v>
      </c>
      <c r="K8" s="303">
        <f aca="true" t="shared" si="1" ref="K8:L10">SUM(K51+K93)</f>
        <v>0</v>
      </c>
      <c r="L8" s="303">
        <f t="shared" si="1"/>
        <v>487830</v>
      </c>
    </row>
    <row r="9" spans="1:12" ht="12.75">
      <c r="A9" s="311" t="s">
        <v>101</v>
      </c>
      <c r="B9" s="296" t="s">
        <v>371</v>
      </c>
      <c r="C9" s="320">
        <f>SUM(C10:C12)</f>
        <v>281420</v>
      </c>
      <c r="D9" s="320">
        <f>SUM(D10:D12)</f>
        <v>-10394</v>
      </c>
      <c r="E9" s="320">
        <f>SUM(E10:E12)</f>
        <v>0</v>
      </c>
      <c r="F9" s="320">
        <f aca="true" t="shared" si="2" ref="F9:F22">SUM(F52+F94)</f>
        <v>271026</v>
      </c>
      <c r="G9" s="317" t="s">
        <v>372</v>
      </c>
      <c r="H9" s="317" t="s">
        <v>93</v>
      </c>
      <c r="I9" s="303">
        <f t="shared" si="0"/>
        <v>151657</v>
      </c>
      <c r="J9" s="303">
        <f t="shared" si="0"/>
        <v>0</v>
      </c>
      <c r="K9" s="303">
        <f t="shared" si="1"/>
        <v>0</v>
      </c>
      <c r="L9" s="303">
        <f>SUM(L52+L94)</f>
        <v>151657</v>
      </c>
    </row>
    <row r="10" spans="1:12" ht="12.75">
      <c r="A10" s="323" t="s">
        <v>373</v>
      </c>
      <c r="B10" s="293" t="s">
        <v>374</v>
      </c>
      <c r="C10" s="303">
        <f aca="true" t="shared" si="3" ref="C10:D12">SUM(C53+C95)</f>
        <v>66800</v>
      </c>
      <c r="D10" s="303">
        <f t="shared" si="3"/>
        <v>0</v>
      </c>
      <c r="E10" s="303">
        <f>SUM(E53+E95)</f>
        <v>0</v>
      </c>
      <c r="F10" s="320">
        <f t="shared" si="2"/>
        <v>66800</v>
      </c>
      <c r="G10" s="317" t="s">
        <v>194</v>
      </c>
      <c r="H10" s="317" t="s">
        <v>269</v>
      </c>
      <c r="I10" s="303">
        <f t="shared" si="0"/>
        <v>235346</v>
      </c>
      <c r="J10" s="303">
        <f t="shared" si="0"/>
        <v>8</v>
      </c>
      <c r="K10" s="303">
        <f t="shared" si="1"/>
        <v>0</v>
      </c>
      <c r="L10" s="303">
        <f>SUM(L53+L95)</f>
        <v>235354</v>
      </c>
    </row>
    <row r="11" spans="1:12" ht="12.75">
      <c r="A11" s="323" t="s">
        <v>375</v>
      </c>
      <c r="B11" s="293" t="s">
        <v>376</v>
      </c>
      <c r="C11" s="303">
        <f t="shared" si="3"/>
        <v>211620</v>
      </c>
      <c r="D11" s="303">
        <f t="shared" si="3"/>
        <v>-10394</v>
      </c>
      <c r="E11" s="303">
        <f>SUM(E54+E96)</f>
        <v>0</v>
      </c>
      <c r="F11" s="320">
        <f t="shared" si="2"/>
        <v>201226</v>
      </c>
      <c r="G11" s="317" t="s">
        <v>195</v>
      </c>
      <c r="H11" s="317" t="s">
        <v>377</v>
      </c>
      <c r="I11" s="303">
        <f>SUM(I12:I16)</f>
        <v>207419</v>
      </c>
      <c r="J11" s="303">
        <f>SUM(J12:J16)</f>
        <v>0</v>
      </c>
      <c r="K11" s="303">
        <f>SUM(K12:K16)</f>
        <v>0</v>
      </c>
      <c r="L11" s="303">
        <f>SUM(L54+L96)</f>
        <v>207419</v>
      </c>
    </row>
    <row r="12" spans="1:12" ht="12.75">
      <c r="A12" s="323" t="s">
        <v>378</v>
      </c>
      <c r="B12" s="293" t="s">
        <v>379</v>
      </c>
      <c r="C12" s="303">
        <f t="shared" si="3"/>
        <v>3000</v>
      </c>
      <c r="D12" s="303">
        <f t="shared" si="3"/>
        <v>0</v>
      </c>
      <c r="E12" s="303">
        <f>SUM(E55+E97)</f>
        <v>0</v>
      </c>
      <c r="F12" s="320">
        <f t="shared" si="2"/>
        <v>3000</v>
      </c>
      <c r="G12" s="311" t="s">
        <v>100</v>
      </c>
      <c r="H12" s="293" t="s">
        <v>96</v>
      </c>
      <c r="I12" s="303">
        <f>SUM(I55+I97)</f>
        <v>20676</v>
      </c>
      <c r="J12" s="303">
        <f>SUM(J55+J97)</f>
        <v>0</v>
      </c>
      <c r="K12" s="303">
        <f aca="true" t="shared" si="4" ref="K12:L16">SUM(K55+K97)</f>
        <v>0</v>
      </c>
      <c r="L12" s="303">
        <f t="shared" si="4"/>
        <v>20676</v>
      </c>
    </row>
    <row r="13" spans="1:12" ht="12.75">
      <c r="A13" s="324" t="s">
        <v>192</v>
      </c>
      <c r="B13" s="317" t="s">
        <v>186</v>
      </c>
      <c r="C13" s="303"/>
      <c r="D13" s="303"/>
      <c r="E13" s="303"/>
      <c r="F13" s="320">
        <f t="shared" si="2"/>
        <v>0</v>
      </c>
      <c r="G13" s="311" t="s">
        <v>101</v>
      </c>
      <c r="H13" s="293" t="s">
        <v>380</v>
      </c>
      <c r="I13" s="303">
        <f>SUM(I56+I98)</f>
        <v>13972</v>
      </c>
      <c r="J13" s="303"/>
      <c r="K13" s="303"/>
      <c r="L13" s="303">
        <f>SUM(L56+L98)</f>
        <v>13972</v>
      </c>
    </row>
    <row r="14" spans="1:12" ht="12.75">
      <c r="A14" s="311" t="s">
        <v>100</v>
      </c>
      <c r="B14" s="296" t="s">
        <v>381</v>
      </c>
      <c r="C14" s="320">
        <f>SUM(C15:C17)</f>
        <v>608307</v>
      </c>
      <c r="D14" s="320">
        <f>SUM(D15:D17)</f>
        <v>0</v>
      </c>
      <c r="E14" s="320">
        <f>SUM(E15:E17)</f>
        <v>0</v>
      </c>
      <c r="F14" s="320">
        <f t="shared" si="2"/>
        <v>608307</v>
      </c>
      <c r="G14" s="311" t="s">
        <v>102</v>
      </c>
      <c r="H14" s="293" t="s">
        <v>382</v>
      </c>
      <c r="I14" s="303">
        <f>SUM(I57+I99)</f>
        <v>166245</v>
      </c>
      <c r="J14" s="303">
        <f>SUM(J57+J99)</f>
        <v>0</v>
      </c>
      <c r="K14" s="303">
        <f t="shared" si="4"/>
        <v>0</v>
      </c>
      <c r="L14" s="303">
        <f t="shared" si="4"/>
        <v>166245</v>
      </c>
    </row>
    <row r="15" spans="1:12" ht="12.75">
      <c r="A15" s="311" t="s">
        <v>383</v>
      </c>
      <c r="B15" s="293" t="s">
        <v>384</v>
      </c>
      <c r="C15" s="303">
        <f aca="true" t="shared" si="5" ref="C15:D19">SUM(C58+C100)</f>
        <v>415161</v>
      </c>
      <c r="D15" s="303">
        <f t="shared" si="5"/>
        <v>0</v>
      </c>
      <c r="E15" s="303">
        <f>SUM(E58+E100)</f>
        <v>0</v>
      </c>
      <c r="F15" s="320">
        <f t="shared" si="2"/>
        <v>415161</v>
      </c>
      <c r="G15" s="311" t="s">
        <v>103</v>
      </c>
      <c r="H15" s="293" t="s">
        <v>385</v>
      </c>
      <c r="I15" s="303">
        <f>SUM(I58+I100)</f>
        <v>252</v>
      </c>
      <c r="J15" s="303">
        <f>SUM(J58+J100)</f>
        <v>0</v>
      </c>
      <c r="K15" s="303">
        <f t="shared" si="4"/>
        <v>0</v>
      </c>
      <c r="L15" s="303">
        <f t="shared" si="4"/>
        <v>252</v>
      </c>
    </row>
    <row r="16" spans="1:12" ht="12.75">
      <c r="A16" s="311" t="s">
        <v>386</v>
      </c>
      <c r="B16" s="293" t="s">
        <v>387</v>
      </c>
      <c r="C16" s="303">
        <f t="shared" si="5"/>
        <v>882</v>
      </c>
      <c r="D16" s="303">
        <f t="shared" si="5"/>
        <v>0</v>
      </c>
      <c r="E16" s="303">
        <f>SUM(E59+E101)</f>
        <v>0</v>
      </c>
      <c r="F16" s="320">
        <f t="shared" si="2"/>
        <v>882</v>
      </c>
      <c r="G16" s="311" t="s">
        <v>104</v>
      </c>
      <c r="H16" s="293" t="s">
        <v>388</v>
      </c>
      <c r="I16" s="303">
        <f>SUM(I59+I101)</f>
        <v>6274</v>
      </c>
      <c r="J16" s="303">
        <f>SUM(J59+J101)</f>
        <v>0</v>
      </c>
      <c r="K16" s="303">
        <f t="shared" si="4"/>
        <v>0</v>
      </c>
      <c r="L16" s="303">
        <f t="shared" si="4"/>
        <v>6274</v>
      </c>
    </row>
    <row r="17" spans="1:12" ht="12.75">
      <c r="A17" s="311" t="s">
        <v>389</v>
      </c>
      <c r="B17" s="293" t="s">
        <v>390</v>
      </c>
      <c r="C17" s="303">
        <f t="shared" si="5"/>
        <v>192264</v>
      </c>
      <c r="D17" s="303">
        <f t="shared" si="5"/>
        <v>0</v>
      </c>
      <c r="E17" s="303">
        <f>SUM(E60+E102)</f>
        <v>0</v>
      </c>
      <c r="F17" s="320">
        <f t="shared" si="2"/>
        <v>192264</v>
      </c>
      <c r="G17" s="311"/>
      <c r="H17" s="293"/>
      <c r="I17" s="303"/>
      <c r="J17" s="303"/>
      <c r="K17" s="303"/>
      <c r="L17" s="303">
        <f>SUM(L60+L102)</f>
        <v>0</v>
      </c>
    </row>
    <row r="18" spans="1:12" ht="12.75">
      <c r="A18" s="317" t="s">
        <v>391</v>
      </c>
      <c r="B18" s="317" t="s">
        <v>392</v>
      </c>
      <c r="C18" s="303">
        <f t="shared" si="5"/>
        <v>40225</v>
      </c>
      <c r="D18" s="303">
        <f t="shared" si="5"/>
        <v>0</v>
      </c>
      <c r="E18" s="303">
        <f>SUM(E61+E103)</f>
        <v>0</v>
      </c>
      <c r="F18" s="320">
        <f t="shared" si="2"/>
        <v>40225</v>
      </c>
      <c r="G18" s="317" t="s">
        <v>197</v>
      </c>
      <c r="H18" s="317" t="s">
        <v>393</v>
      </c>
      <c r="I18" s="303">
        <f>SUM(I61+I103)</f>
        <v>62861</v>
      </c>
      <c r="J18" s="303">
        <f>SUM(J61+J103)</f>
        <v>0</v>
      </c>
      <c r="K18" s="303">
        <f>SUM(K61+K103)</f>
        <v>0</v>
      </c>
      <c r="L18" s="303">
        <f>SUM(L61+L103)</f>
        <v>62861</v>
      </c>
    </row>
    <row r="19" spans="1:12" ht="12.75">
      <c r="A19" s="317" t="s">
        <v>394</v>
      </c>
      <c r="B19" s="317" t="s">
        <v>395</v>
      </c>
      <c r="C19" s="303">
        <f t="shared" si="5"/>
        <v>0</v>
      </c>
      <c r="D19" s="303">
        <f t="shared" si="5"/>
        <v>0</v>
      </c>
      <c r="E19" s="303">
        <f>SUM(E62+E104)</f>
        <v>0</v>
      </c>
      <c r="F19" s="320">
        <f t="shared" si="2"/>
        <v>0</v>
      </c>
      <c r="G19" s="317" t="s">
        <v>198</v>
      </c>
      <c r="H19" s="317" t="s">
        <v>396</v>
      </c>
      <c r="I19" s="303">
        <f>SUM(I20:I21)</f>
        <v>5000</v>
      </c>
      <c r="J19" s="303">
        <f>SUM(J20:J21)</f>
        <v>275</v>
      </c>
      <c r="K19" s="303">
        <f>SUM(K20:K21)</f>
        <v>0</v>
      </c>
      <c r="L19" s="303">
        <f>SUM(L62+L104)</f>
        <v>5275</v>
      </c>
    </row>
    <row r="20" spans="1:12" ht="12.75">
      <c r="A20" s="311"/>
      <c r="B20" s="293" t="s">
        <v>397</v>
      </c>
      <c r="C20" s="303"/>
      <c r="D20" s="303"/>
      <c r="E20" s="303"/>
      <c r="F20" s="320">
        <f t="shared" si="2"/>
        <v>0</v>
      </c>
      <c r="G20" s="311" t="s">
        <v>100</v>
      </c>
      <c r="H20" s="293" t="s">
        <v>398</v>
      </c>
      <c r="I20" s="303">
        <f aca="true" t="shared" si="6" ref="I20:K21">SUM(I63+I105)</f>
        <v>0</v>
      </c>
      <c r="J20" s="303">
        <f t="shared" si="6"/>
        <v>275</v>
      </c>
      <c r="K20" s="303">
        <f t="shared" si="6"/>
        <v>0</v>
      </c>
      <c r="L20" s="303">
        <f>SUM(L63+L105)</f>
        <v>275</v>
      </c>
    </row>
    <row r="21" spans="1:12" ht="12.75">
      <c r="A21" s="317" t="s">
        <v>399</v>
      </c>
      <c r="B21" s="317" t="s">
        <v>400</v>
      </c>
      <c r="C21" s="320">
        <f aca="true" t="shared" si="7" ref="C21:E22">SUM(C64+C106)</f>
        <v>0</v>
      </c>
      <c r="D21" s="320">
        <f>SUM(D64+D106)</f>
        <v>0</v>
      </c>
      <c r="E21" s="320">
        <f t="shared" si="7"/>
        <v>0</v>
      </c>
      <c r="F21" s="320">
        <f t="shared" si="2"/>
        <v>0</v>
      </c>
      <c r="G21" s="311" t="s">
        <v>101</v>
      </c>
      <c r="H21" s="293" t="s">
        <v>401</v>
      </c>
      <c r="I21" s="303">
        <f t="shared" si="6"/>
        <v>5000</v>
      </c>
      <c r="J21" s="303">
        <f t="shared" si="6"/>
        <v>0</v>
      </c>
      <c r="K21" s="303">
        <f t="shared" si="6"/>
        <v>0</v>
      </c>
      <c r="L21" s="303">
        <f>SUM(L64+L106)</f>
        <v>5000</v>
      </c>
    </row>
    <row r="22" spans="1:12" ht="12.75">
      <c r="A22" s="317" t="s">
        <v>198</v>
      </c>
      <c r="B22" s="317" t="s">
        <v>402</v>
      </c>
      <c r="C22" s="320">
        <f t="shared" si="7"/>
        <v>186</v>
      </c>
      <c r="D22" s="320">
        <f>SUM(D65+D107)</f>
        <v>253</v>
      </c>
      <c r="E22" s="320">
        <f t="shared" si="7"/>
        <v>0</v>
      </c>
      <c r="F22" s="320">
        <f t="shared" si="2"/>
        <v>439</v>
      </c>
      <c r="G22" s="311"/>
      <c r="H22" s="293"/>
      <c r="I22" s="303"/>
      <c r="J22" s="303"/>
      <c r="K22" s="303"/>
      <c r="L22" s="303"/>
    </row>
    <row r="23" spans="1:12" ht="12.75">
      <c r="A23" s="311"/>
      <c r="B23" s="301" t="s">
        <v>403</v>
      </c>
      <c r="C23" s="304">
        <f>SUM(C8+C9+C14+C18+C19+C21+C22)</f>
        <v>986737</v>
      </c>
      <c r="D23" s="304">
        <f>SUM(D8+D9+D14+D18+D19+D21+D22)</f>
        <v>-16094</v>
      </c>
      <c r="E23" s="304">
        <f>SUM(E8+E9+E14+E18+E19+E21+E22)</f>
        <v>0</v>
      </c>
      <c r="F23" s="304">
        <f>SUM(F8+F9+F14+F18+F19+F21+F22)</f>
        <v>970643</v>
      </c>
      <c r="G23" s="311"/>
      <c r="H23" s="301" t="s">
        <v>404</v>
      </c>
      <c r="I23" s="304">
        <f>SUM(I7)</f>
        <v>1150143</v>
      </c>
      <c r="J23" s="304">
        <f>SUM(J7)</f>
        <v>253</v>
      </c>
      <c r="K23" s="304">
        <f>SUM(K7)</f>
        <v>0</v>
      </c>
      <c r="L23" s="304">
        <f>SUM(L7)</f>
        <v>1150396</v>
      </c>
    </row>
    <row r="24" spans="1:12" ht="12.75">
      <c r="A24" s="311"/>
      <c r="B24" s="327" t="s">
        <v>405</v>
      </c>
      <c r="C24" s="328">
        <f>I25-C23</f>
        <v>163406</v>
      </c>
      <c r="D24" s="328">
        <f>J25-D23</f>
        <v>16347</v>
      </c>
      <c r="E24" s="328">
        <f>K25-E23</f>
        <v>0</v>
      </c>
      <c r="F24" s="328">
        <f>L25-F23</f>
        <v>179753</v>
      </c>
      <c r="G24" s="311"/>
      <c r="H24" s="293" t="s">
        <v>406</v>
      </c>
      <c r="I24" s="328">
        <f>SUM(I67,I109)</f>
        <v>0</v>
      </c>
      <c r="J24" s="328">
        <f>SUM(J67,J109)</f>
        <v>0</v>
      </c>
      <c r="K24" s="328">
        <f>SUM(K67,K109)</f>
        <v>0</v>
      </c>
      <c r="L24" s="328">
        <f>SUM(L67,L109)</f>
        <v>0</v>
      </c>
    </row>
    <row r="25" spans="1:12" ht="12.75">
      <c r="A25" s="311"/>
      <c r="B25" s="317" t="s">
        <v>407</v>
      </c>
      <c r="C25" s="303"/>
      <c r="D25" s="303"/>
      <c r="E25" s="303"/>
      <c r="F25" s="303"/>
      <c r="G25" s="311"/>
      <c r="H25" s="301" t="s">
        <v>408</v>
      </c>
      <c r="I25" s="304">
        <f>SUM(I8+I9+I10+I11+I18+I19)</f>
        <v>1150143</v>
      </c>
      <c r="J25" s="304">
        <f>SUM(J8+J9+J10+J11+J18+J19)</f>
        <v>253</v>
      </c>
      <c r="K25" s="304">
        <f>SUM(K8+K9+K10+K11+K18+K19)</f>
        <v>0</v>
      </c>
      <c r="L25" s="304">
        <f>SUM(L8+L9+L10+L11+L18+L19)</f>
        <v>1150396</v>
      </c>
    </row>
    <row r="26" spans="1:12" ht="12.75">
      <c r="A26" s="317" t="s">
        <v>409</v>
      </c>
      <c r="B26" s="317" t="s">
        <v>410</v>
      </c>
      <c r="C26" s="303">
        <f aca="true" t="shared" si="8" ref="C26:D29">SUM(C69+C111)</f>
        <v>22451</v>
      </c>
      <c r="D26" s="303">
        <f t="shared" si="8"/>
        <v>0</v>
      </c>
      <c r="E26" s="303">
        <f aca="true" t="shared" si="9" ref="E26:F29">SUM(E69+E111)</f>
        <v>0</v>
      </c>
      <c r="F26" s="303">
        <f t="shared" si="9"/>
        <v>22451</v>
      </c>
      <c r="G26" s="311"/>
      <c r="H26" s="327" t="s">
        <v>411</v>
      </c>
      <c r="I26" s="303"/>
      <c r="J26" s="303"/>
      <c r="K26" s="303"/>
      <c r="L26" s="303"/>
    </row>
    <row r="27" spans="1:12" ht="12.75">
      <c r="A27" s="317" t="s">
        <v>412</v>
      </c>
      <c r="B27" s="317" t="s">
        <v>413</v>
      </c>
      <c r="C27" s="303">
        <f t="shared" si="8"/>
        <v>10000</v>
      </c>
      <c r="D27" s="303">
        <f t="shared" si="8"/>
        <v>0</v>
      </c>
      <c r="E27" s="303">
        <f t="shared" si="9"/>
        <v>0</v>
      </c>
      <c r="F27" s="303">
        <f t="shared" si="9"/>
        <v>10000</v>
      </c>
      <c r="G27" s="311"/>
      <c r="H27" s="317" t="s">
        <v>94</v>
      </c>
      <c r="I27" s="303"/>
      <c r="J27" s="303"/>
      <c r="K27" s="303"/>
      <c r="L27" s="303"/>
    </row>
    <row r="28" spans="1:12" ht="12.75">
      <c r="A28" s="317" t="s">
        <v>414</v>
      </c>
      <c r="B28" s="317" t="s">
        <v>415</v>
      </c>
      <c r="C28" s="303">
        <f t="shared" si="8"/>
        <v>14011</v>
      </c>
      <c r="D28" s="303">
        <f t="shared" si="8"/>
        <v>10394</v>
      </c>
      <c r="E28" s="303">
        <f t="shared" si="9"/>
        <v>0</v>
      </c>
      <c r="F28" s="303">
        <f aca="true" t="shared" si="10" ref="F28:F38">SUM(F71+F113)</f>
        <v>24405</v>
      </c>
      <c r="G28" s="317" t="s">
        <v>194</v>
      </c>
      <c r="H28" s="317" t="s">
        <v>416</v>
      </c>
      <c r="I28" s="303">
        <f>SUM(I71+I113)</f>
        <v>26935</v>
      </c>
      <c r="J28" s="303">
        <f>SUM(J71+J113)</f>
        <v>0</v>
      </c>
      <c r="K28" s="303">
        <f>SUM(K71+K113)</f>
        <v>0</v>
      </c>
      <c r="L28" s="303">
        <f>SUM(L71+L113)</f>
        <v>26935</v>
      </c>
    </row>
    <row r="29" spans="1:12" ht="12.75">
      <c r="A29" s="317" t="s">
        <v>417</v>
      </c>
      <c r="B29" s="317" t="s">
        <v>193</v>
      </c>
      <c r="C29" s="303">
        <f t="shared" si="8"/>
        <v>6147</v>
      </c>
      <c r="D29" s="303">
        <f t="shared" si="8"/>
        <v>0</v>
      </c>
      <c r="E29" s="303">
        <f t="shared" si="9"/>
        <v>0</v>
      </c>
      <c r="F29" s="303">
        <f t="shared" si="10"/>
        <v>6147</v>
      </c>
      <c r="G29" s="317" t="s">
        <v>195</v>
      </c>
      <c r="H29" s="317" t="s">
        <v>377</v>
      </c>
      <c r="I29" s="303">
        <f>SUM(I30:I31)</f>
        <v>0</v>
      </c>
      <c r="J29" s="303">
        <f>SUM(J30:J31)</f>
        <v>0</v>
      </c>
      <c r="K29" s="303">
        <f>SUM(K30:K31)</f>
        <v>0</v>
      </c>
      <c r="L29" s="303">
        <f aca="true" t="shared" si="11" ref="L29:L38">SUM(L72+L114)</f>
        <v>0</v>
      </c>
    </row>
    <row r="30" spans="1:12" ht="12.75">
      <c r="A30" s="317" t="s">
        <v>194</v>
      </c>
      <c r="B30" s="317" t="s">
        <v>418</v>
      </c>
      <c r="C30" s="303">
        <f>SUM(C31:C33)</f>
        <v>4000</v>
      </c>
      <c r="D30" s="303">
        <f>SUM(D31:D33)</f>
        <v>5953</v>
      </c>
      <c r="E30" s="303">
        <f>SUM(E31:E33)</f>
        <v>0</v>
      </c>
      <c r="F30" s="303">
        <f t="shared" si="10"/>
        <v>9953</v>
      </c>
      <c r="G30" s="311" t="s">
        <v>100</v>
      </c>
      <c r="H30" s="293" t="s">
        <v>96</v>
      </c>
      <c r="I30" s="303">
        <f aca="true" t="shared" si="12" ref="I30:K31">SUM(I73+I115)</f>
        <v>0</v>
      </c>
      <c r="J30" s="303">
        <f t="shared" si="12"/>
        <v>0</v>
      </c>
      <c r="K30" s="303">
        <f t="shared" si="12"/>
        <v>0</v>
      </c>
      <c r="L30" s="303">
        <f t="shared" si="11"/>
        <v>0</v>
      </c>
    </row>
    <row r="31" spans="1:12" ht="12.75">
      <c r="A31" s="311" t="s">
        <v>100</v>
      </c>
      <c r="B31" s="330" t="s">
        <v>419</v>
      </c>
      <c r="C31" s="303">
        <f aca="true" t="shared" si="13" ref="C31:E35">SUM(C74+C116)</f>
        <v>0</v>
      </c>
      <c r="D31" s="303">
        <f t="shared" si="13"/>
        <v>0</v>
      </c>
      <c r="E31" s="303">
        <f t="shared" si="13"/>
        <v>0</v>
      </c>
      <c r="F31" s="303">
        <f t="shared" si="10"/>
        <v>0</v>
      </c>
      <c r="G31" s="311" t="s">
        <v>101</v>
      </c>
      <c r="H31" s="293" t="s">
        <v>420</v>
      </c>
      <c r="I31" s="303">
        <f t="shared" si="12"/>
        <v>0</v>
      </c>
      <c r="J31" s="303">
        <f t="shared" si="12"/>
        <v>0</v>
      </c>
      <c r="K31" s="303">
        <f t="shared" si="12"/>
        <v>0</v>
      </c>
      <c r="L31" s="303">
        <f t="shared" si="11"/>
        <v>0</v>
      </c>
    </row>
    <row r="32" spans="1:12" ht="12.75">
      <c r="A32" s="311" t="s">
        <v>101</v>
      </c>
      <c r="B32" s="330" t="s">
        <v>421</v>
      </c>
      <c r="C32" s="303">
        <f t="shared" si="13"/>
        <v>4000</v>
      </c>
      <c r="D32" s="303">
        <f t="shared" si="13"/>
        <v>5953</v>
      </c>
      <c r="E32" s="303">
        <f t="shared" si="13"/>
        <v>0</v>
      </c>
      <c r="F32" s="303">
        <f t="shared" si="10"/>
        <v>9953</v>
      </c>
      <c r="G32" s="317" t="s">
        <v>196</v>
      </c>
      <c r="H32" s="317" t="s">
        <v>422</v>
      </c>
      <c r="I32" s="303">
        <f>SUM(I33:I35)</f>
        <v>190047</v>
      </c>
      <c r="J32" s="303">
        <f>SUM(J33:J35)</f>
        <v>0</v>
      </c>
      <c r="K32" s="303">
        <f>SUM(K33:K35)</f>
        <v>982775</v>
      </c>
      <c r="L32" s="303">
        <f t="shared" si="11"/>
        <v>1172822</v>
      </c>
    </row>
    <row r="33" spans="1:12" ht="12.75">
      <c r="A33" s="311" t="s">
        <v>102</v>
      </c>
      <c r="B33" s="330" t="s">
        <v>161</v>
      </c>
      <c r="C33" s="303">
        <f t="shared" si="13"/>
        <v>0</v>
      </c>
      <c r="D33" s="303">
        <f t="shared" si="13"/>
        <v>0</v>
      </c>
      <c r="E33" s="303">
        <f t="shared" si="13"/>
        <v>0</v>
      </c>
      <c r="F33" s="303">
        <f t="shared" si="10"/>
        <v>0</v>
      </c>
      <c r="G33" s="311" t="s">
        <v>100</v>
      </c>
      <c r="H33" s="330" t="s">
        <v>117</v>
      </c>
      <c r="I33" s="303">
        <f aca="true" t="shared" si="14" ref="I33:K36">SUM(I76+I118)</f>
        <v>15875</v>
      </c>
      <c r="J33" s="303">
        <f>SUM(J76+J118)</f>
        <v>0</v>
      </c>
      <c r="K33" s="303">
        <f t="shared" si="14"/>
        <v>0</v>
      </c>
      <c r="L33" s="303">
        <f t="shared" si="11"/>
        <v>15875</v>
      </c>
    </row>
    <row r="34" spans="1:12" ht="12.75">
      <c r="A34" s="317" t="s">
        <v>423</v>
      </c>
      <c r="B34" s="317" t="s">
        <v>424</v>
      </c>
      <c r="C34" s="303">
        <f t="shared" si="13"/>
        <v>52835</v>
      </c>
      <c r="D34" s="303">
        <f t="shared" si="13"/>
        <v>0</v>
      </c>
      <c r="E34" s="303">
        <f t="shared" si="13"/>
        <v>982775</v>
      </c>
      <c r="F34" s="303">
        <f t="shared" si="10"/>
        <v>1035610</v>
      </c>
      <c r="G34" s="311" t="s">
        <v>101</v>
      </c>
      <c r="H34" s="330" t="s">
        <v>97</v>
      </c>
      <c r="I34" s="303">
        <f t="shared" si="14"/>
        <v>174172</v>
      </c>
      <c r="J34" s="303">
        <f>SUM(J77+J119)</f>
        <v>0</v>
      </c>
      <c r="K34" s="303">
        <f t="shared" si="14"/>
        <v>982775</v>
      </c>
      <c r="L34" s="303">
        <f t="shared" si="11"/>
        <v>1156947</v>
      </c>
    </row>
    <row r="35" spans="1:12" ht="12.75">
      <c r="A35" s="317" t="s">
        <v>425</v>
      </c>
      <c r="B35" s="317" t="s">
        <v>426</v>
      </c>
      <c r="C35" s="303">
        <f t="shared" si="13"/>
        <v>1073</v>
      </c>
      <c r="D35" s="303">
        <f t="shared" si="13"/>
        <v>0</v>
      </c>
      <c r="E35" s="303">
        <f t="shared" si="13"/>
        <v>0</v>
      </c>
      <c r="F35" s="303">
        <f t="shared" si="10"/>
        <v>1073</v>
      </c>
      <c r="G35" s="311" t="s">
        <v>102</v>
      </c>
      <c r="H35" s="293" t="s">
        <v>163</v>
      </c>
      <c r="I35" s="303">
        <f t="shared" si="14"/>
        <v>0</v>
      </c>
      <c r="J35" s="303">
        <f>SUM(J78+J120)</f>
        <v>0</v>
      </c>
      <c r="K35" s="303">
        <f t="shared" si="14"/>
        <v>0</v>
      </c>
      <c r="L35" s="303">
        <f t="shared" si="11"/>
        <v>0</v>
      </c>
    </row>
    <row r="36" spans="1:12" ht="12.75">
      <c r="A36" s="317" t="s">
        <v>196</v>
      </c>
      <c r="B36" s="317" t="s">
        <v>427</v>
      </c>
      <c r="C36" s="303"/>
      <c r="D36" s="303"/>
      <c r="E36" s="303"/>
      <c r="F36" s="303">
        <f t="shared" si="10"/>
        <v>0</v>
      </c>
      <c r="G36" s="317" t="s">
        <v>197</v>
      </c>
      <c r="H36" s="317" t="s">
        <v>428</v>
      </c>
      <c r="I36" s="303">
        <f t="shared" si="14"/>
        <v>6116</v>
      </c>
      <c r="J36" s="303">
        <f>SUM(J79+J121)</f>
        <v>0</v>
      </c>
      <c r="K36" s="303">
        <f t="shared" si="14"/>
        <v>0</v>
      </c>
      <c r="L36" s="303">
        <f t="shared" si="11"/>
        <v>6116</v>
      </c>
    </row>
    <row r="37" spans="1:12" ht="12.75">
      <c r="A37" s="317" t="s">
        <v>197</v>
      </c>
      <c r="B37" s="317" t="s">
        <v>428</v>
      </c>
      <c r="C37" s="303">
        <f aca="true" t="shared" si="15" ref="C37:E38">SUM(C80+C122)</f>
        <v>0</v>
      </c>
      <c r="D37" s="303">
        <f t="shared" si="15"/>
        <v>0</v>
      </c>
      <c r="E37" s="303">
        <f t="shared" si="15"/>
        <v>0</v>
      </c>
      <c r="F37" s="303">
        <f t="shared" si="10"/>
        <v>0</v>
      </c>
      <c r="G37" s="317" t="s">
        <v>198</v>
      </c>
      <c r="H37" s="317" t="s">
        <v>396</v>
      </c>
      <c r="I37" s="303">
        <f>SUM(I80+I122)</f>
        <v>0</v>
      </c>
      <c r="J37" s="303">
        <f>SUM(J80+J122)</f>
        <v>16347</v>
      </c>
      <c r="K37" s="303">
        <f>SUM(K80+K122)</f>
        <v>0</v>
      </c>
      <c r="L37" s="303">
        <f t="shared" si="11"/>
        <v>16347</v>
      </c>
    </row>
    <row r="38" spans="1:12" ht="12.75">
      <c r="A38" s="317" t="s">
        <v>198</v>
      </c>
      <c r="B38" s="317" t="s">
        <v>402</v>
      </c>
      <c r="C38" s="303">
        <f t="shared" si="15"/>
        <v>112581</v>
      </c>
      <c r="D38" s="303">
        <f t="shared" si="15"/>
        <v>0</v>
      </c>
      <c r="E38" s="303">
        <f t="shared" si="15"/>
        <v>0</v>
      </c>
      <c r="F38" s="303">
        <f t="shared" si="10"/>
        <v>112581</v>
      </c>
      <c r="G38" s="311" t="s">
        <v>100</v>
      </c>
      <c r="H38" s="293" t="s">
        <v>398</v>
      </c>
      <c r="I38" s="303">
        <v>0</v>
      </c>
      <c r="J38" s="303">
        <v>0</v>
      </c>
      <c r="K38" s="303">
        <v>0</v>
      </c>
      <c r="L38" s="303">
        <f t="shared" si="11"/>
        <v>15467</v>
      </c>
    </row>
    <row r="39" spans="1:12" ht="12.75">
      <c r="A39" s="311"/>
      <c r="B39" s="301" t="s">
        <v>429</v>
      </c>
      <c r="C39" s="304">
        <f>SUM(C26+C27+C28+C29+C30+C34++C35+C36+C37+C38)</f>
        <v>223098</v>
      </c>
      <c r="D39" s="304">
        <f>SUM(D26+D27+D28+D29+D30+D34++D35+D36+D37+D38)</f>
        <v>16347</v>
      </c>
      <c r="E39" s="304">
        <f>SUM(E26+E27+E28+E29+E30+E34++E35+E36+E37+E38)</f>
        <v>982775</v>
      </c>
      <c r="F39" s="304">
        <f>SUM(F26+F27+F28+F29+F30+F34++F35+F36+F37+F38)</f>
        <v>1222220</v>
      </c>
      <c r="G39" s="311"/>
      <c r="H39" s="301" t="s">
        <v>430</v>
      </c>
      <c r="I39" s="304">
        <f>SUM(I28+I29+I32+I36+I37)</f>
        <v>223098</v>
      </c>
      <c r="J39" s="304">
        <f>SUM(J28+J29+J32+J36+J37)</f>
        <v>16347</v>
      </c>
      <c r="K39" s="304">
        <f>SUM(K28+K29+K32+K36+K37)</f>
        <v>982775</v>
      </c>
      <c r="L39" s="304">
        <f>SUM(L28+L29+L32+L36+L37)</f>
        <v>1222220</v>
      </c>
    </row>
    <row r="40" spans="1:12" ht="12.75">
      <c r="A40" s="311"/>
      <c r="B40" s="301" t="s">
        <v>431</v>
      </c>
      <c r="C40" s="304">
        <f>SUM(C23,C39)</f>
        <v>1209835</v>
      </c>
      <c r="D40" s="304">
        <f>SUM(D23,D39)</f>
        <v>253</v>
      </c>
      <c r="E40" s="304">
        <f>SUM(E23,E39)</f>
        <v>982775</v>
      </c>
      <c r="F40" s="304">
        <f>SUM(F23,F39)</f>
        <v>2192863</v>
      </c>
      <c r="G40" s="311"/>
      <c r="H40" s="301" t="s">
        <v>432</v>
      </c>
      <c r="I40" s="304">
        <f>SUM(I25,I39)</f>
        <v>1373241</v>
      </c>
      <c r="J40" s="304">
        <f>SUM(J25,J39)</f>
        <v>16600</v>
      </c>
      <c r="K40" s="304">
        <f>SUM(K25,K39)</f>
        <v>982775</v>
      </c>
      <c r="L40" s="304">
        <f>SUM(L25,L39)</f>
        <v>2372616</v>
      </c>
    </row>
    <row r="41" spans="1:12" ht="12.75">
      <c r="A41" s="311"/>
      <c r="B41" s="327" t="s">
        <v>433</v>
      </c>
      <c r="C41" s="328"/>
      <c r="D41" s="328"/>
      <c r="E41" s="328"/>
      <c r="F41" s="447"/>
      <c r="G41" s="311"/>
      <c r="H41" s="293" t="s">
        <v>434</v>
      </c>
      <c r="I41" s="303">
        <f>C39-I39</f>
        <v>0</v>
      </c>
      <c r="J41" s="303">
        <f>D39-J39</f>
        <v>0</v>
      </c>
      <c r="K41" s="303">
        <f>E39-K39</f>
        <v>0</v>
      </c>
      <c r="L41" s="303">
        <f>F39-L39</f>
        <v>0</v>
      </c>
    </row>
    <row r="42" spans="1:12" ht="13.5">
      <c r="A42" s="311"/>
      <c r="B42" s="332" t="s">
        <v>435</v>
      </c>
      <c r="C42" s="333">
        <f>SUM(C41+C24)</f>
        <v>163406</v>
      </c>
      <c r="D42" s="333">
        <f>SUM(D41+D24)</f>
        <v>16347</v>
      </c>
      <c r="E42" s="333">
        <f>SUM(E41+E24)</f>
        <v>0</v>
      </c>
      <c r="F42" s="333">
        <f>SUM(F41+F24)</f>
        <v>179753</v>
      </c>
      <c r="G42" s="311"/>
      <c r="H42" s="332" t="s">
        <v>436</v>
      </c>
      <c r="I42" s="320">
        <f>SUM(I24,I41)</f>
        <v>0</v>
      </c>
      <c r="J42" s="320">
        <f>SUM(J24,J41)</f>
        <v>0</v>
      </c>
      <c r="K42" s="320">
        <f>SUM(K24,K41)</f>
        <v>0</v>
      </c>
      <c r="L42" s="320">
        <f>SUM(L24,L41)</f>
        <v>0</v>
      </c>
    </row>
    <row r="43" spans="1:12" ht="12.75">
      <c r="A43" s="311"/>
      <c r="B43" s="301" t="s">
        <v>437</v>
      </c>
      <c r="C43" s="304">
        <f>SUM(C40+C42)</f>
        <v>1373241</v>
      </c>
      <c r="D43" s="304">
        <f>SUM(D40+D42)</f>
        <v>16600</v>
      </c>
      <c r="E43" s="304">
        <f>SUM(E40+E42)</f>
        <v>982775</v>
      </c>
      <c r="F43" s="304">
        <f>SUM(F40+F42)</f>
        <v>2372616</v>
      </c>
      <c r="G43" s="311"/>
      <c r="H43" s="301" t="s">
        <v>438</v>
      </c>
      <c r="I43" s="304">
        <f>SUM(I40,I42)</f>
        <v>1373241</v>
      </c>
      <c r="J43" s="304">
        <f>SUM(J40,J42)</f>
        <v>16600</v>
      </c>
      <c r="K43" s="304">
        <f>SUM(K40,K42)</f>
        <v>982775</v>
      </c>
      <c r="L43" s="304">
        <f>SUM(L40,L42)</f>
        <v>2372616</v>
      </c>
    </row>
    <row r="44" spans="1:12" ht="12.75" customHeight="1">
      <c r="A44" s="564" t="s">
        <v>439</v>
      </c>
      <c r="B44" s="564"/>
      <c r="C44" s="564"/>
      <c r="D44" s="564"/>
      <c r="E44" s="564"/>
      <c r="F44" s="564"/>
      <c r="G44" s="564"/>
      <c r="H44" s="564"/>
      <c r="I44" s="564"/>
      <c r="J44" s="564"/>
      <c r="K44" s="564"/>
      <c r="L44" s="564"/>
    </row>
    <row r="45" spans="1:12" ht="12.75" customHeight="1">
      <c r="A45" s="564"/>
      <c r="B45" s="564"/>
      <c r="C45" s="564"/>
      <c r="D45" s="564"/>
      <c r="E45" s="564"/>
      <c r="F45" s="564"/>
      <c r="G45" s="564"/>
      <c r="H45" s="564"/>
      <c r="I45" s="564"/>
      <c r="J45" s="564"/>
      <c r="K45" s="564"/>
      <c r="L45" s="564"/>
    </row>
    <row r="46" spans="1:12" ht="15.75">
      <c r="A46" s="315" t="s">
        <v>440</v>
      </c>
      <c r="B46" s="58"/>
      <c r="C46" s="316"/>
      <c r="D46" s="316"/>
      <c r="E46" s="316"/>
      <c r="F46" s="316"/>
      <c r="G46" s="58"/>
      <c r="H46" s="58"/>
      <c r="I46" s="565" t="s">
        <v>364</v>
      </c>
      <c r="J46" s="566"/>
      <c r="K46" s="566"/>
      <c r="L46" s="566"/>
    </row>
    <row r="47" spans="1:12" ht="12.75" customHeight="1">
      <c r="A47" s="567" t="s">
        <v>365</v>
      </c>
      <c r="B47" s="569" t="s">
        <v>142</v>
      </c>
      <c r="C47" s="571" t="s">
        <v>155</v>
      </c>
      <c r="D47" s="571" t="s">
        <v>52</v>
      </c>
      <c r="E47" s="571" t="s">
        <v>53</v>
      </c>
      <c r="F47" s="571" t="s">
        <v>54</v>
      </c>
      <c r="G47" s="567" t="s">
        <v>365</v>
      </c>
      <c r="H47" s="569" t="s">
        <v>369</v>
      </c>
      <c r="I47" s="571" t="s">
        <v>155</v>
      </c>
      <c r="J47" s="571" t="s">
        <v>52</v>
      </c>
      <c r="K47" s="571" t="s">
        <v>53</v>
      </c>
      <c r="L47" s="571" t="s">
        <v>54</v>
      </c>
    </row>
    <row r="48" spans="1:12" ht="12.75" customHeight="1">
      <c r="A48" s="567"/>
      <c r="B48" s="569"/>
      <c r="C48" s="572"/>
      <c r="D48" s="572"/>
      <c r="E48" s="572"/>
      <c r="F48" s="574"/>
      <c r="G48" s="567"/>
      <c r="H48" s="569"/>
      <c r="I48" s="572"/>
      <c r="J48" s="572"/>
      <c r="K48" s="572"/>
      <c r="L48" s="574"/>
    </row>
    <row r="49" spans="1:12" ht="12.75">
      <c r="A49" s="568"/>
      <c r="B49" s="570"/>
      <c r="C49" s="573"/>
      <c r="D49" s="573"/>
      <c r="E49" s="573"/>
      <c r="F49" s="575"/>
      <c r="G49" s="568"/>
      <c r="H49" s="570"/>
      <c r="I49" s="573"/>
      <c r="J49" s="573"/>
      <c r="K49" s="573"/>
      <c r="L49" s="575"/>
    </row>
    <row r="50" spans="1:12" ht="12.75">
      <c r="A50" s="317" t="s">
        <v>88</v>
      </c>
      <c r="B50" s="317" t="s">
        <v>185</v>
      </c>
      <c r="C50" s="318"/>
      <c r="D50" s="318"/>
      <c r="E50" s="318"/>
      <c r="F50" s="318"/>
      <c r="G50" s="317"/>
      <c r="H50" s="317" t="s">
        <v>91</v>
      </c>
      <c r="I50" s="318">
        <f>SUM(I51:I53,I54,I61,I62)</f>
        <v>1568</v>
      </c>
      <c r="J50" s="318">
        <f>SUM(J51:J53,J54,J61,J62)</f>
        <v>253</v>
      </c>
      <c r="K50" s="318">
        <f>SUM(K51:K53,K54,K61,K62)</f>
        <v>0</v>
      </c>
      <c r="L50" s="318">
        <f>SUM(L51:L53,L54,L61,L62)</f>
        <v>1821</v>
      </c>
    </row>
    <row r="51" spans="1:12" ht="12.75">
      <c r="A51" s="311" t="s">
        <v>100</v>
      </c>
      <c r="B51" s="296" t="s">
        <v>370</v>
      </c>
      <c r="C51" s="320">
        <v>0</v>
      </c>
      <c r="D51" s="320">
        <v>0</v>
      </c>
      <c r="E51" s="320">
        <v>0</v>
      </c>
      <c r="F51" s="320">
        <f>SUM(C51:E51)</f>
        <v>0</v>
      </c>
      <c r="G51" s="317" t="s">
        <v>88</v>
      </c>
      <c r="H51" s="317" t="s">
        <v>92</v>
      </c>
      <c r="I51" s="303">
        <v>600</v>
      </c>
      <c r="J51" s="303">
        <f>-80+50</f>
        <v>-30</v>
      </c>
      <c r="K51" s="303"/>
      <c r="L51" s="303">
        <f>SUM(I51:K51)</f>
        <v>570</v>
      </c>
    </row>
    <row r="52" spans="1:12" ht="12.75">
      <c r="A52" s="311" t="s">
        <v>101</v>
      </c>
      <c r="B52" s="296" t="s">
        <v>371</v>
      </c>
      <c r="C52" s="320">
        <v>0</v>
      </c>
      <c r="D52" s="320">
        <v>0</v>
      </c>
      <c r="E52" s="320">
        <v>0</v>
      </c>
      <c r="F52" s="320">
        <f aca="true" t="shared" si="16" ref="F52:F65">SUM(C52:E52)</f>
        <v>0</v>
      </c>
      <c r="G52" s="317" t="s">
        <v>372</v>
      </c>
      <c r="H52" s="317" t="s">
        <v>93</v>
      </c>
      <c r="I52" s="303">
        <v>100</v>
      </c>
      <c r="J52" s="303"/>
      <c r="K52" s="303"/>
      <c r="L52" s="303">
        <f aca="true" t="shared" si="17" ref="L52:L64">SUM(I52:K52)</f>
        <v>100</v>
      </c>
    </row>
    <row r="53" spans="1:12" ht="12.75">
      <c r="A53" s="323" t="s">
        <v>373</v>
      </c>
      <c r="B53" s="293" t="s">
        <v>374</v>
      </c>
      <c r="C53" s="303">
        <v>0</v>
      </c>
      <c r="D53" s="303">
        <v>0</v>
      </c>
      <c r="E53" s="303">
        <v>0</v>
      </c>
      <c r="F53" s="320">
        <f t="shared" si="16"/>
        <v>0</v>
      </c>
      <c r="G53" s="317" t="s">
        <v>194</v>
      </c>
      <c r="H53" s="317" t="s">
        <v>269</v>
      </c>
      <c r="I53" s="303">
        <v>330</v>
      </c>
      <c r="J53" s="303">
        <v>8</v>
      </c>
      <c r="K53" s="303"/>
      <c r="L53" s="303">
        <f t="shared" si="17"/>
        <v>338</v>
      </c>
    </row>
    <row r="54" spans="1:12" ht="12.75">
      <c r="A54" s="323" t="s">
        <v>375</v>
      </c>
      <c r="B54" s="293" t="s">
        <v>376</v>
      </c>
      <c r="C54" s="303"/>
      <c r="D54" s="303"/>
      <c r="E54" s="303"/>
      <c r="F54" s="320">
        <f t="shared" si="16"/>
        <v>0</v>
      </c>
      <c r="G54" s="317" t="s">
        <v>195</v>
      </c>
      <c r="H54" s="317" t="s">
        <v>377</v>
      </c>
      <c r="I54" s="303">
        <f>SUM(I55:I59)</f>
        <v>538</v>
      </c>
      <c r="J54" s="303"/>
      <c r="K54" s="303"/>
      <c r="L54" s="303">
        <f t="shared" si="17"/>
        <v>538</v>
      </c>
    </row>
    <row r="55" spans="1:12" ht="12.75">
      <c r="A55" s="323" t="s">
        <v>378</v>
      </c>
      <c r="B55" s="293" t="s">
        <v>379</v>
      </c>
      <c r="C55" s="303"/>
      <c r="D55" s="303"/>
      <c r="E55" s="303"/>
      <c r="F55" s="320">
        <f t="shared" si="16"/>
        <v>0</v>
      </c>
      <c r="G55" s="311" t="s">
        <v>100</v>
      </c>
      <c r="H55" s="293" t="s">
        <v>96</v>
      </c>
      <c r="I55" s="303">
        <v>320</v>
      </c>
      <c r="J55" s="303"/>
      <c r="K55" s="303"/>
      <c r="L55" s="303">
        <f t="shared" si="17"/>
        <v>320</v>
      </c>
    </row>
    <row r="56" spans="1:12" ht="12.75">
      <c r="A56" s="324" t="s">
        <v>192</v>
      </c>
      <c r="B56" s="317" t="s">
        <v>186</v>
      </c>
      <c r="C56" s="303"/>
      <c r="D56" s="303"/>
      <c r="E56" s="303"/>
      <c r="F56" s="320">
        <f t="shared" si="16"/>
        <v>0</v>
      </c>
      <c r="G56" s="311" t="s">
        <v>101</v>
      </c>
      <c r="H56" s="293" t="s">
        <v>380</v>
      </c>
      <c r="I56" s="303">
        <v>0</v>
      </c>
      <c r="J56" s="303"/>
      <c r="K56" s="303"/>
      <c r="L56" s="303">
        <f t="shared" si="17"/>
        <v>0</v>
      </c>
    </row>
    <row r="57" spans="1:12" ht="12.75">
      <c r="A57" s="311" t="s">
        <v>100</v>
      </c>
      <c r="B57" s="296" t="s">
        <v>381</v>
      </c>
      <c r="C57" s="320">
        <f>SUM(C58:C60)</f>
        <v>882</v>
      </c>
      <c r="D57" s="320">
        <f>SUM(D58:D60)</f>
        <v>0</v>
      </c>
      <c r="E57" s="320">
        <f>SUM(E58:E60)</f>
        <v>0</v>
      </c>
      <c r="F57" s="320">
        <f t="shared" si="16"/>
        <v>882</v>
      </c>
      <c r="G57" s="311" t="s">
        <v>102</v>
      </c>
      <c r="H57" s="293" t="s">
        <v>382</v>
      </c>
      <c r="I57" s="303">
        <v>0</v>
      </c>
      <c r="J57" s="303"/>
      <c r="K57" s="303"/>
      <c r="L57" s="303">
        <f t="shared" si="17"/>
        <v>0</v>
      </c>
    </row>
    <row r="58" spans="1:12" ht="12.75">
      <c r="A58" s="311" t="s">
        <v>383</v>
      </c>
      <c r="B58" s="293" t="s">
        <v>384</v>
      </c>
      <c r="C58" s="303">
        <v>0</v>
      </c>
      <c r="D58" s="303">
        <v>0</v>
      </c>
      <c r="E58" s="303">
        <v>0</v>
      </c>
      <c r="F58" s="320">
        <f t="shared" si="16"/>
        <v>0</v>
      </c>
      <c r="G58" s="311" t="s">
        <v>103</v>
      </c>
      <c r="H58" s="293" t="s">
        <v>385</v>
      </c>
      <c r="I58" s="303">
        <v>0</v>
      </c>
      <c r="J58" s="303"/>
      <c r="K58" s="303"/>
      <c r="L58" s="303">
        <f t="shared" si="17"/>
        <v>0</v>
      </c>
    </row>
    <row r="59" spans="1:12" ht="12.75">
      <c r="A59" s="311" t="s">
        <v>386</v>
      </c>
      <c r="B59" s="293" t="s">
        <v>387</v>
      </c>
      <c r="C59" s="303">
        <v>882</v>
      </c>
      <c r="D59" s="303"/>
      <c r="E59" s="303"/>
      <c r="F59" s="320">
        <f t="shared" si="16"/>
        <v>882</v>
      </c>
      <c r="G59" s="311" t="s">
        <v>104</v>
      </c>
      <c r="H59" s="293" t="s">
        <v>388</v>
      </c>
      <c r="I59" s="303">
        <v>218</v>
      </c>
      <c r="J59" s="303"/>
      <c r="K59" s="303"/>
      <c r="L59" s="303">
        <f t="shared" si="17"/>
        <v>218</v>
      </c>
    </row>
    <row r="60" spans="1:12" ht="12.75">
      <c r="A60" s="311" t="s">
        <v>389</v>
      </c>
      <c r="B60" s="293" t="s">
        <v>390</v>
      </c>
      <c r="C60" s="303">
        <v>0</v>
      </c>
      <c r="D60" s="303"/>
      <c r="E60" s="303"/>
      <c r="F60" s="320">
        <f t="shared" si="16"/>
        <v>0</v>
      </c>
      <c r="G60" s="311"/>
      <c r="H60" s="293"/>
      <c r="I60" s="303"/>
      <c r="J60" s="303"/>
      <c r="K60" s="303"/>
      <c r="L60" s="303">
        <f t="shared" si="17"/>
        <v>0</v>
      </c>
    </row>
    <row r="61" spans="1:12" ht="12.75">
      <c r="A61" s="317" t="s">
        <v>391</v>
      </c>
      <c r="B61" s="317" t="s">
        <v>392</v>
      </c>
      <c r="C61" s="303">
        <v>500</v>
      </c>
      <c r="D61" s="303"/>
      <c r="E61" s="303"/>
      <c r="F61" s="320">
        <f t="shared" si="16"/>
        <v>500</v>
      </c>
      <c r="G61" s="317" t="s">
        <v>197</v>
      </c>
      <c r="H61" s="317" t="s">
        <v>393</v>
      </c>
      <c r="I61" s="303"/>
      <c r="J61" s="303"/>
      <c r="K61" s="303"/>
      <c r="L61" s="303">
        <f t="shared" si="17"/>
        <v>0</v>
      </c>
    </row>
    <row r="62" spans="1:12" ht="12.75">
      <c r="A62" s="317" t="s">
        <v>394</v>
      </c>
      <c r="B62" s="317" t="s">
        <v>395</v>
      </c>
      <c r="C62" s="303"/>
      <c r="D62" s="303"/>
      <c r="E62" s="303"/>
      <c r="F62" s="320">
        <f t="shared" si="16"/>
        <v>0</v>
      </c>
      <c r="G62" s="317" t="s">
        <v>198</v>
      </c>
      <c r="H62" s="317" t="s">
        <v>396</v>
      </c>
      <c r="I62" s="303">
        <f>SUM(I63:I65)</f>
        <v>0</v>
      </c>
      <c r="J62" s="303">
        <f>SUM(J63:J65)</f>
        <v>275</v>
      </c>
      <c r="K62" s="303">
        <f>SUM(K63:K65)</f>
        <v>0</v>
      </c>
      <c r="L62" s="303">
        <f t="shared" si="17"/>
        <v>275</v>
      </c>
    </row>
    <row r="63" spans="1:12" ht="12.75">
      <c r="A63" s="311"/>
      <c r="B63" s="293" t="s">
        <v>397</v>
      </c>
      <c r="C63" s="303"/>
      <c r="D63" s="303"/>
      <c r="E63" s="303"/>
      <c r="F63" s="320">
        <f t="shared" si="16"/>
        <v>0</v>
      </c>
      <c r="G63" s="311" t="s">
        <v>100</v>
      </c>
      <c r="H63" s="293" t="s">
        <v>398</v>
      </c>
      <c r="I63" s="303"/>
      <c r="J63" s="303">
        <v>275</v>
      </c>
      <c r="K63" s="303"/>
      <c r="L63" s="303">
        <f t="shared" si="17"/>
        <v>275</v>
      </c>
    </row>
    <row r="64" spans="1:12" ht="12.75">
      <c r="A64" s="317" t="s">
        <v>399</v>
      </c>
      <c r="B64" s="317" t="s">
        <v>400</v>
      </c>
      <c r="C64" s="320">
        <v>0</v>
      </c>
      <c r="D64" s="320">
        <v>0</v>
      </c>
      <c r="E64" s="320">
        <v>0</v>
      </c>
      <c r="F64" s="320">
        <f t="shared" si="16"/>
        <v>0</v>
      </c>
      <c r="G64" s="311" t="s">
        <v>101</v>
      </c>
      <c r="H64" s="293" t="s">
        <v>401</v>
      </c>
      <c r="I64" s="303"/>
      <c r="J64" s="303"/>
      <c r="K64" s="303"/>
      <c r="L64" s="303">
        <f t="shared" si="17"/>
        <v>0</v>
      </c>
    </row>
    <row r="65" spans="1:12" ht="12.75">
      <c r="A65" s="317" t="s">
        <v>198</v>
      </c>
      <c r="B65" s="317" t="s">
        <v>402</v>
      </c>
      <c r="C65" s="303">
        <v>186</v>
      </c>
      <c r="D65" s="303">
        <v>253</v>
      </c>
      <c r="E65" s="303"/>
      <c r="F65" s="320">
        <f t="shared" si="16"/>
        <v>439</v>
      </c>
      <c r="G65" s="311"/>
      <c r="H65" s="293"/>
      <c r="I65" s="303"/>
      <c r="J65" s="303"/>
      <c r="K65" s="303"/>
      <c r="L65" s="303"/>
    </row>
    <row r="66" spans="1:12" ht="12.75">
      <c r="A66" s="311"/>
      <c r="B66" s="301" t="s">
        <v>403</v>
      </c>
      <c r="C66" s="304">
        <f>SUM(C51+C52+C57+C61+C62+C64+C65)</f>
        <v>1568</v>
      </c>
      <c r="D66" s="304">
        <f>SUM(D51+D52+D57+D61+D62+D64+D65)</f>
        <v>253</v>
      </c>
      <c r="E66" s="304">
        <f>SUM(E51+E52+E57+E61+E62+E64+E65)</f>
        <v>0</v>
      </c>
      <c r="F66" s="304">
        <f>SUM(F51+F52+F57+F61+F62+F64+F65)</f>
        <v>1821</v>
      </c>
      <c r="G66" s="311"/>
      <c r="H66" s="301" t="s">
        <v>404</v>
      </c>
      <c r="I66" s="304">
        <f>SUM(I50)</f>
        <v>1568</v>
      </c>
      <c r="J66" s="304">
        <f>SUM(J50)</f>
        <v>253</v>
      </c>
      <c r="K66" s="304">
        <f>SUM(K50)</f>
        <v>0</v>
      </c>
      <c r="L66" s="304">
        <f>SUM(L50)</f>
        <v>1821</v>
      </c>
    </row>
    <row r="67" spans="1:12" ht="12.75">
      <c r="A67" s="311"/>
      <c r="B67" s="327" t="s">
        <v>405</v>
      </c>
      <c r="C67" s="328"/>
      <c r="D67" s="328"/>
      <c r="E67" s="328"/>
      <c r="F67" s="328"/>
      <c r="G67" s="311"/>
      <c r="H67" s="293" t="s">
        <v>406</v>
      </c>
      <c r="I67" s="328"/>
      <c r="J67" s="328"/>
      <c r="K67" s="328"/>
      <c r="L67" s="303"/>
    </row>
    <row r="68" spans="1:12" ht="12.75">
      <c r="A68" s="311"/>
      <c r="B68" s="317" t="s">
        <v>407</v>
      </c>
      <c r="C68" s="303"/>
      <c r="D68" s="303"/>
      <c r="E68" s="303"/>
      <c r="F68" s="303"/>
      <c r="G68" s="311"/>
      <c r="H68" s="301" t="s">
        <v>408</v>
      </c>
      <c r="I68" s="304">
        <f>SUM(I50)</f>
        <v>1568</v>
      </c>
      <c r="J68" s="304">
        <f>SUM(J50)</f>
        <v>253</v>
      </c>
      <c r="K68" s="304">
        <f>SUM(K50)</f>
        <v>0</v>
      </c>
      <c r="L68" s="304">
        <f>SUM(L50)</f>
        <v>1821</v>
      </c>
    </row>
    <row r="69" spans="1:12" ht="12.75">
      <c r="A69" s="317" t="s">
        <v>409</v>
      </c>
      <c r="B69" s="317" t="s">
        <v>410</v>
      </c>
      <c r="C69" s="303"/>
      <c r="D69" s="303"/>
      <c r="E69" s="303"/>
      <c r="F69" s="303"/>
      <c r="G69" s="311"/>
      <c r="H69" s="327" t="s">
        <v>411</v>
      </c>
      <c r="I69" s="303">
        <f>C66-I68</f>
        <v>0</v>
      </c>
      <c r="J69" s="303">
        <f>D66-J68</f>
        <v>0</v>
      </c>
      <c r="K69" s="303">
        <f>E66-K68</f>
        <v>0</v>
      </c>
      <c r="L69" s="303"/>
    </row>
    <row r="70" spans="1:12" ht="12.75">
      <c r="A70" s="317" t="s">
        <v>412</v>
      </c>
      <c r="B70" s="317" t="s">
        <v>413</v>
      </c>
      <c r="C70" s="303"/>
      <c r="D70" s="303"/>
      <c r="E70" s="303"/>
      <c r="F70" s="303"/>
      <c r="G70" s="311"/>
      <c r="H70" s="317" t="s">
        <v>94</v>
      </c>
      <c r="I70" s="303"/>
      <c r="J70" s="303"/>
      <c r="K70" s="303"/>
      <c r="L70" s="303"/>
    </row>
    <row r="71" spans="1:12" ht="12.75">
      <c r="A71" s="317" t="s">
        <v>414</v>
      </c>
      <c r="B71" s="317" t="s">
        <v>415</v>
      </c>
      <c r="C71" s="303"/>
      <c r="D71" s="303"/>
      <c r="E71" s="303"/>
      <c r="F71" s="303"/>
      <c r="G71" s="317" t="s">
        <v>194</v>
      </c>
      <c r="H71" s="317" t="s">
        <v>416</v>
      </c>
      <c r="I71" s="303"/>
      <c r="J71" s="303"/>
      <c r="K71" s="303"/>
      <c r="L71" s="303"/>
    </row>
    <row r="72" spans="1:12" ht="12.75">
      <c r="A72" s="317" t="s">
        <v>417</v>
      </c>
      <c r="B72" s="317" t="s">
        <v>193</v>
      </c>
      <c r="C72" s="303"/>
      <c r="D72" s="303"/>
      <c r="E72" s="303"/>
      <c r="F72" s="303"/>
      <c r="G72" s="317" t="s">
        <v>195</v>
      </c>
      <c r="H72" s="317" t="s">
        <v>377</v>
      </c>
      <c r="I72" s="303"/>
      <c r="J72" s="303"/>
      <c r="K72" s="303"/>
      <c r="L72" s="303"/>
    </row>
    <row r="73" spans="1:12" ht="12.75">
      <c r="A73" s="317" t="s">
        <v>194</v>
      </c>
      <c r="B73" s="317" t="s">
        <v>418</v>
      </c>
      <c r="C73" s="303"/>
      <c r="D73" s="303"/>
      <c r="E73" s="303"/>
      <c r="F73" s="303"/>
      <c r="G73" s="311" t="s">
        <v>100</v>
      </c>
      <c r="H73" s="293" t="s">
        <v>96</v>
      </c>
      <c r="I73" s="303"/>
      <c r="J73" s="303"/>
      <c r="K73" s="303"/>
      <c r="L73" s="303"/>
    </row>
    <row r="74" spans="1:12" ht="12.75">
      <c r="A74" s="311" t="s">
        <v>100</v>
      </c>
      <c r="B74" s="330" t="s">
        <v>419</v>
      </c>
      <c r="C74" s="303"/>
      <c r="D74" s="303"/>
      <c r="E74" s="303"/>
      <c r="F74" s="303"/>
      <c r="G74" s="311" t="s">
        <v>101</v>
      </c>
      <c r="H74" s="293" t="s">
        <v>420</v>
      </c>
      <c r="I74" s="303"/>
      <c r="J74" s="303"/>
      <c r="K74" s="303"/>
      <c r="L74" s="303"/>
    </row>
    <row r="75" spans="1:12" ht="12.75">
      <c r="A75" s="311" t="s">
        <v>101</v>
      </c>
      <c r="B75" s="330" t="s">
        <v>421</v>
      </c>
      <c r="C75" s="303"/>
      <c r="D75" s="303"/>
      <c r="E75" s="303"/>
      <c r="F75" s="303"/>
      <c r="G75" s="317" t="s">
        <v>196</v>
      </c>
      <c r="H75" s="317" t="s">
        <v>422</v>
      </c>
      <c r="I75" s="303"/>
      <c r="J75" s="303"/>
      <c r="K75" s="303"/>
      <c r="L75" s="303"/>
    </row>
    <row r="76" spans="1:12" ht="12.75">
      <c r="A76" s="311" t="s">
        <v>102</v>
      </c>
      <c r="B76" s="330" t="s">
        <v>161</v>
      </c>
      <c r="C76" s="303"/>
      <c r="D76" s="303"/>
      <c r="E76" s="303"/>
      <c r="F76" s="303"/>
      <c r="G76" s="311" t="s">
        <v>100</v>
      </c>
      <c r="H76" s="330" t="s">
        <v>117</v>
      </c>
      <c r="I76" s="303"/>
      <c r="J76" s="303"/>
      <c r="K76" s="303"/>
      <c r="L76" s="303"/>
    </row>
    <row r="77" spans="1:12" ht="12.75">
      <c r="A77" s="317" t="s">
        <v>423</v>
      </c>
      <c r="B77" s="317" t="s">
        <v>424</v>
      </c>
      <c r="C77" s="303"/>
      <c r="D77" s="303"/>
      <c r="E77" s="303"/>
      <c r="F77" s="303"/>
      <c r="G77" s="311" t="s">
        <v>101</v>
      </c>
      <c r="H77" s="330" t="s">
        <v>97</v>
      </c>
      <c r="I77" s="303"/>
      <c r="J77" s="303"/>
      <c r="K77" s="303"/>
      <c r="L77" s="303"/>
    </row>
    <row r="78" spans="1:12" ht="12.75">
      <c r="A78" s="317" t="s">
        <v>425</v>
      </c>
      <c r="B78" s="317" t="s">
        <v>426</v>
      </c>
      <c r="C78" s="303"/>
      <c r="D78" s="303"/>
      <c r="E78" s="303"/>
      <c r="F78" s="303"/>
      <c r="G78" s="311" t="s">
        <v>102</v>
      </c>
      <c r="H78" s="293" t="s">
        <v>163</v>
      </c>
      <c r="I78" s="303"/>
      <c r="J78" s="303"/>
      <c r="K78" s="303"/>
      <c r="L78" s="303"/>
    </row>
    <row r="79" spans="1:12" ht="12.75">
      <c r="A79" s="317" t="s">
        <v>196</v>
      </c>
      <c r="B79" s="317" t="s">
        <v>427</v>
      </c>
      <c r="C79" s="303"/>
      <c r="D79" s="303"/>
      <c r="E79" s="303"/>
      <c r="F79" s="303"/>
      <c r="G79" s="317" t="s">
        <v>197</v>
      </c>
      <c r="H79" s="317" t="s">
        <v>428</v>
      </c>
      <c r="I79" s="303"/>
      <c r="J79" s="303"/>
      <c r="K79" s="303"/>
      <c r="L79" s="303"/>
    </row>
    <row r="80" spans="1:12" ht="12.75">
      <c r="A80" s="317" t="s">
        <v>197</v>
      </c>
      <c r="B80" s="317" t="s">
        <v>428</v>
      </c>
      <c r="C80" s="303"/>
      <c r="D80" s="303"/>
      <c r="E80" s="303"/>
      <c r="F80" s="303"/>
      <c r="G80" s="317" t="s">
        <v>198</v>
      </c>
      <c r="H80" s="317" t="s">
        <v>396</v>
      </c>
      <c r="I80" s="303"/>
      <c r="J80" s="303"/>
      <c r="K80" s="303"/>
      <c r="L80" s="303"/>
    </row>
    <row r="81" spans="1:12" ht="12.75">
      <c r="A81" s="317" t="s">
        <v>198</v>
      </c>
      <c r="B81" s="317" t="s">
        <v>402</v>
      </c>
      <c r="C81" s="303"/>
      <c r="D81" s="303"/>
      <c r="E81" s="303"/>
      <c r="F81" s="303"/>
      <c r="G81" s="311" t="s">
        <v>100</v>
      </c>
      <c r="H81" s="293" t="s">
        <v>398</v>
      </c>
      <c r="I81" s="303"/>
      <c r="J81" s="303"/>
      <c r="K81" s="303"/>
      <c r="L81" s="303"/>
    </row>
    <row r="82" spans="1:12" ht="12.75">
      <c r="A82" s="311"/>
      <c r="B82" s="301" t="s">
        <v>429</v>
      </c>
      <c r="C82" s="304">
        <f>SUM(C79:C81)</f>
        <v>0</v>
      </c>
      <c r="D82" s="304">
        <f>SUM(D79:D81)</f>
        <v>0</v>
      </c>
      <c r="E82" s="304">
        <f>SUM(E79:E81)</f>
        <v>0</v>
      </c>
      <c r="F82" s="304">
        <f>SUM(F79:F81)</f>
        <v>0</v>
      </c>
      <c r="G82" s="311" t="s">
        <v>441</v>
      </c>
      <c r="H82" s="301" t="s">
        <v>430</v>
      </c>
      <c r="I82" s="304">
        <f>SUM(I79:I81)</f>
        <v>0</v>
      </c>
      <c r="J82" s="304">
        <f>SUM(J79:J81)</f>
        <v>0</v>
      </c>
      <c r="K82" s="304">
        <f>SUM(K79:K81)</f>
        <v>0</v>
      </c>
      <c r="L82" s="304">
        <f>SUM(L79:L81)</f>
        <v>0</v>
      </c>
    </row>
    <row r="83" spans="1:12" ht="12.75">
      <c r="A83" s="311"/>
      <c r="B83" s="327" t="s">
        <v>433</v>
      </c>
      <c r="C83" s="328"/>
      <c r="D83" s="328"/>
      <c r="E83" s="328"/>
      <c r="F83" s="447"/>
      <c r="G83" s="311" t="s">
        <v>442</v>
      </c>
      <c r="H83" s="293" t="s">
        <v>434</v>
      </c>
      <c r="I83" s="303">
        <f>C82-I82</f>
        <v>0</v>
      </c>
      <c r="J83" s="303">
        <f>D82-J82</f>
        <v>0</v>
      </c>
      <c r="K83" s="303">
        <f>E82-K82</f>
        <v>0</v>
      </c>
      <c r="L83" s="303"/>
    </row>
    <row r="84" spans="1:12" ht="13.5">
      <c r="A84" s="311"/>
      <c r="B84" s="332" t="s">
        <v>435</v>
      </c>
      <c r="C84" s="333">
        <f>SUM(C83+C67)</f>
        <v>0</v>
      </c>
      <c r="D84" s="333">
        <f>SUM(D83+D67)</f>
        <v>0</v>
      </c>
      <c r="E84" s="333">
        <f>SUM(E83+E67)</f>
        <v>0</v>
      </c>
      <c r="F84" s="313"/>
      <c r="G84" s="311" t="s">
        <v>443</v>
      </c>
      <c r="H84" s="332" t="s">
        <v>436</v>
      </c>
      <c r="I84" s="303">
        <f>SUM(I69,I83)</f>
        <v>0</v>
      </c>
      <c r="J84" s="303">
        <f>SUM(J69,J83)</f>
        <v>0</v>
      </c>
      <c r="K84" s="303">
        <f>SUM(K69,K83)</f>
        <v>0</v>
      </c>
      <c r="L84" s="303"/>
    </row>
    <row r="85" spans="1:12" ht="12.75">
      <c r="A85" s="311"/>
      <c r="B85" s="301" t="s">
        <v>444</v>
      </c>
      <c r="C85" s="304">
        <f>SUM(C82+C66+C84)</f>
        <v>1568</v>
      </c>
      <c r="D85" s="304">
        <f>SUM(D82+D66+D84)</f>
        <v>253</v>
      </c>
      <c r="E85" s="304">
        <f>SUM(E82+E66+E84)</f>
        <v>0</v>
      </c>
      <c r="F85" s="304">
        <f>SUM(F82+F66+F84)</f>
        <v>1821</v>
      </c>
      <c r="G85" s="311" t="s">
        <v>445</v>
      </c>
      <c r="H85" s="301" t="s">
        <v>444</v>
      </c>
      <c r="I85" s="304">
        <f>SUM(I68,I82,I84)</f>
        <v>1568</v>
      </c>
      <c r="J85" s="304">
        <f>SUM(J68,J82,J84)</f>
        <v>253</v>
      </c>
      <c r="K85" s="304">
        <f>SUM(K68,K82,K84)</f>
        <v>0</v>
      </c>
      <c r="L85" s="304">
        <f>SUM(L68,L82,L84)</f>
        <v>1821</v>
      </c>
    </row>
    <row r="86" spans="1:12" ht="12.75" customHeight="1">
      <c r="A86" s="564" t="s">
        <v>446</v>
      </c>
      <c r="B86" s="564"/>
      <c r="C86" s="564"/>
      <c r="D86" s="564"/>
      <c r="E86" s="564"/>
      <c r="F86" s="564"/>
      <c r="G86" s="564"/>
      <c r="H86" s="564"/>
      <c r="I86" s="564"/>
      <c r="J86" s="564"/>
      <c r="K86" s="564"/>
      <c r="L86" s="564"/>
    </row>
    <row r="87" spans="1:12" ht="12.75" customHeight="1">
      <c r="A87" s="564"/>
      <c r="B87" s="564"/>
      <c r="C87" s="564"/>
      <c r="D87" s="564"/>
      <c r="E87" s="564"/>
      <c r="F87" s="564"/>
      <c r="G87" s="564"/>
      <c r="H87" s="564"/>
      <c r="I87" s="564"/>
      <c r="J87" s="564"/>
      <c r="K87" s="564"/>
      <c r="L87" s="564"/>
    </row>
    <row r="88" spans="1:12" ht="15.75">
      <c r="A88" s="315" t="s">
        <v>447</v>
      </c>
      <c r="B88" s="58"/>
      <c r="C88" s="316"/>
      <c r="D88" s="316"/>
      <c r="E88" s="316"/>
      <c r="F88" s="316"/>
      <c r="G88" s="58"/>
      <c r="H88" s="58"/>
      <c r="I88" s="565" t="s">
        <v>364</v>
      </c>
      <c r="J88" s="566"/>
      <c r="K88" s="566"/>
      <c r="L88" s="566"/>
    </row>
    <row r="89" spans="1:12" ht="12.75" customHeight="1">
      <c r="A89" s="567" t="s">
        <v>365</v>
      </c>
      <c r="B89" s="569" t="s">
        <v>142</v>
      </c>
      <c r="C89" s="571" t="s">
        <v>155</v>
      </c>
      <c r="D89" s="571" t="s">
        <v>52</v>
      </c>
      <c r="E89" s="571" t="s">
        <v>53</v>
      </c>
      <c r="F89" s="571" t="s">
        <v>54</v>
      </c>
      <c r="G89" s="567" t="s">
        <v>365</v>
      </c>
      <c r="H89" s="569" t="s">
        <v>369</v>
      </c>
      <c r="I89" s="571" t="s">
        <v>155</v>
      </c>
      <c r="J89" s="571" t="s">
        <v>52</v>
      </c>
      <c r="K89" s="571" t="s">
        <v>53</v>
      </c>
      <c r="L89" s="571" t="s">
        <v>54</v>
      </c>
    </row>
    <row r="90" spans="1:12" ht="12.75" customHeight="1">
      <c r="A90" s="567"/>
      <c r="B90" s="569"/>
      <c r="C90" s="572"/>
      <c r="D90" s="572"/>
      <c r="E90" s="572"/>
      <c r="F90" s="574"/>
      <c r="G90" s="567"/>
      <c r="H90" s="569"/>
      <c r="I90" s="572"/>
      <c r="J90" s="572"/>
      <c r="K90" s="572"/>
      <c r="L90" s="574"/>
    </row>
    <row r="91" spans="1:12" ht="12.75">
      <c r="A91" s="568"/>
      <c r="B91" s="570"/>
      <c r="C91" s="573"/>
      <c r="D91" s="573"/>
      <c r="E91" s="573"/>
      <c r="F91" s="575"/>
      <c r="G91" s="568"/>
      <c r="H91" s="570"/>
      <c r="I91" s="573"/>
      <c r="J91" s="573"/>
      <c r="K91" s="573"/>
      <c r="L91" s="575"/>
    </row>
    <row r="92" spans="1:12" ht="12.75">
      <c r="A92" s="317" t="s">
        <v>88</v>
      </c>
      <c r="B92" s="317" t="s">
        <v>185</v>
      </c>
      <c r="C92" s="318"/>
      <c r="D92" s="318"/>
      <c r="E92" s="318"/>
      <c r="F92" s="318"/>
      <c r="G92" s="317"/>
      <c r="H92" s="317" t="s">
        <v>91</v>
      </c>
      <c r="I92" s="318">
        <f>SUM(I93:I95,I96,I103,I104)</f>
        <v>1148575</v>
      </c>
      <c r="J92" s="318">
        <f>SUM(J93:J95,J96,J103,J104)</f>
        <v>0</v>
      </c>
      <c r="K92" s="318">
        <f>SUM(K93:K95,K96,K103,K104)</f>
        <v>0</v>
      </c>
      <c r="L92" s="320">
        <f aca="true" t="shared" si="18" ref="L92:L106">SUM(L134+L176+L218+L260+L302+L344+L386)</f>
        <v>1148575</v>
      </c>
    </row>
    <row r="93" spans="1:12" ht="12.75">
      <c r="A93" s="311" t="s">
        <v>100</v>
      </c>
      <c r="B93" s="296" t="s">
        <v>370</v>
      </c>
      <c r="C93" s="320">
        <f>SUM(C135+C177+C219+C261+C303+C345+C387)</f>
        <v>56599</v>
      </c>
      <c r="D93" s="320">
        <f>SUM(D135+D177+D219+D261+D303+D345+D387)</f>
        <v>-5953</v>
      </c>
      <c r="E93" s="320">
        <f>SUM(E135+E177+E219+E261+E303+E345+E387)</f>
        <v>0</v>
      </c>
      <c r="F93" s="320">
        <f>SUM(F135+F177+F219+F261+F303+F345+F387)</f>
        <v>50646</v>
      </c>
      <c r="G93" s="317" t="s">
        <v>88</v>
      </c>
      <c r="H93" s="317" t="s">
        <v>92</v>
      </c>
      <c r="I93" s="303">
        <f aca="true" t="shared" si="19" ref="I93:K95">SUM(I135+I177+I219+I261+I303+I345+I387)</f>
        <v>487260</v>
      </c>
      <c r="J93" s="303">
        <f t="shared" si="19"/>
        <v>0</v>
      </c>
      <c r="K93" s="303">
        <f t="shared" si="19"/>
        <v>0</v>
      </c>
      <c r="L93" s="303">
        <f t="shared" si="18"/>
        <v>487260</v>
      </c>
    </row>
    <row r="94" spans="1:12" ht="12.75">
      <c r="A94" s="311" t="s">
        <v>101</v>
      </c>
      <c r="B94" s="296" t="s">
        <v>371</v>
      </c>
      <c r="C94" s="320">
        <f>SUM(C95:C97)</f>
        <v>281420</v>
      </c>
      <c r="D94" s="320">
        <f>SUM(D95:D97)</f>
        <v>-10394</v>
      </c>
      <c r="E94" s="320">
        <f>SUM(E95:E97)</f>
        <v>0</v>
      </c>
      <c r="F94" s="320">
        <f aca="true" t="shared" si="20" ref="F94:F107">SUM(F136+F178+F220+F262+F304+F346+F388)</f>
        <v>271026</v>
      </c>
      <c r="G94" s="317" t="s">
        <v>372</v>
      </c>
      <c r="H94" s="317" t="s">
        <v>93</v>
      </c>
      <c r="I94" s="303">
        <f t="shared" si="19"/>
        <v>151557</v>
      </c>
      <c r="J94" s="303">
        <f t="shared" si="19"/>
        <v>0</v>
      </c>
      <c r="K94" s="303">
        <f t="shared" si="19"/>
        <v>0</v>
      </c>
      <c r="L94" s="303">
        <f t="shared" si="18"/>
        <v>151557</v>
      </c>
    </row>
    <row r="95" spans="1:12" ht="12.75">
      <c r="A95" s="323" t="s">
        <v>373</v>
      </c>
      <c r="B95" s="293" t="s">
        <v>374</v>
      </c>
      <c r="C95" s="303">
        <f aca="true" t="shared" si="21" ref="C95:D97">SUM(C137+C179+C221+C263+C305+C347+C389)</f>
        <v>66800</v>
      </c>
      <c r="D95" s="303">
        <f t="shared" si="21"/>
        <v>0</v>
      </c>
      <c r="E95" s="303">
        <f>SUM(E137+E179+E221+E263+E305+E347+E389)</f>
        <v>0</v>
      </c>
      <c r="F95" s="320">
        <f t="shared" si="20"/>
        <v>66800</v>
      </c>
      <c r="G95" s="317" t="s">
        <v>194</v>
      </c>
      <c r="H95" s="317" t="s">
        <v>269</v>
      </c>
      <c r="I95" s="303">
        <f t="shared" si="19"/>
        <v>235016</v>
      </c>
      <c r="J95" s="303">
        <f t="shared" si="19"/>
        <v>0</v>
      </c>
      <c r="K95" s="303">
        <f t="shared" si="19"/>
        <v>0</v>
      </c>
      <c r="L95" s="303">
        <f t="shared" si="18"/>
        <v>235016</v>
      </c>
    </row>
    <row r="96" spans="1:12" ht="12.75">
      <c r="A96" s="323" t="s">
        <v>375</v>
      </c>
      <c r="B96" s="293" t="s">
        <v>376</v>
      </c>
      <c r="C96" s="303">
        <f t="shared" si="21"/>
        <v>211620</v>
      </c>
      <c r="D96" s="303">
        <f t="shared" si="21"/>
        <v>-10394</v>
      </c>
      <c r="E96" s="303">
        <f>SUM(E138+E180+E222+E264+E306+E348+E390)</f>
        <v>0</v>
      </c>
      <c r="F96" s="320">
        <f t="shared" si="20"/>
        <v>201226</v>
      </c>
      <c r="G96" s="317" t="s">
        <v>195</v>
      </c>
      <c r="H96" s="317" t="s">
        <v>377</v>
      </c>
      <c r="I96" s="303">
        <f>SUM(I97:I101)</f>
        <v>206881</v>
      </c>
      <c r="J96" s="303">
        <f>SUM(J97:J101)</f>
        <v>0</v>
      </c>
      <c r="K96" s="303">
        <f>SUM(K97:K101)</f>
        <v>0</v>
      </c>
      <c r="L96" s="303">
        <f t="shared" si="18"/>
        <v>206881</v>
      </c>
    </row>
    <row r="97" spans="1:12" ht="12.75">
      <c r="A97" s="323" t="s">
        <v>378</v>
      </c>
      <c r="B97" s="293" t="s">
        <v>379</v>
      </c>
      <c r="C97" s="303">
        <f t="shared" si="21"/>
        <v>3000</v>
      </c>
      <c r="D97" s="303">
        <f t="shared" si="21"/>
        <v>0</v>
      </c>
      <c r="E97" s="303">
        <f>SUM(E139+E181+E223+E265+E307+E349+E391)</f>
        <v>0</v>
      </c>
      <c r="F97" s="320">
        <f t="shared" si="20"/>
        <v>3000</v>
      </c>
      <c r="G97" s="311" t="s">
        <v>100</v>
      </c>
      <c r="H97" s="293" t="s">
        <v>96</v>
      </c>
      <c r="I97" s="303">
        <f>SUM(I139+I181+I223+I265+I307+I349+I391)</f>
        <v>20356</v>
      </c>
      <c r="J97" s="303">
        <f>SUM(J139+J181+J223+J265+J307+J349+J391)</f>
        <v>0</v>
      </c>
      <c r="K97" s="303">
        <f>SUM(K139+K181+K223+K265+K307+K349+K391)</f>
        <v>0</v>
      </c>
      <c r="L97" s="303">
        <f t="shared" si="18"/>
        <v>20356</v>
      </c>
    </row>
    <row r="98" spans="1:12" ht="12.75">
      <c r="A98" s="324" t="s">
        <v>192</v>
      </c>
      <c r="B98" s="317" t="s">
        <v>186</v>
      </c>
      <c r="C98" s="303"/>
      <c r="D98" s="303"/>
      <c r="E98" s="303"/>
      <c r="F98" s="320">
        <f t="shared" si="20"/>
        <v>0</v>
      </c>
      <c r="G98" s="311" t="s">
        <v>101</v>
      </c>
      <c r="H98" s="293" t="s">
        <v>380</v>
      </c>
      <c r="I98" s="303">
        <v>13972</v>
      </c>
      <c r="J98" s="303"/>
      <c r="K98" s="303"/>
      <c r="L98" s="303">
        <f t="shared" si="18"/>
        <v>13972</v>
      </c>
    </row>
    <row r="99" spans="1:12" ht="12.75">
      <c r="A99" s="311" t="s">
        <v>100</v>
      </c>
      <c r="B99" s="296" t="s">
        <v>381</v>
      </c>
      <c r="C99" s="320">
        <f>SUM(C100:C102)</f>
        <v>607425</v>
      </c>
      <c r="D99" s="320">
        <f>SUM(D100:D102)</f>
        <v>0</v>
      </c>
      <c r="E99" s="320">
        <f>SUM(E100:E102)</f>
        <v>0</v>
      </c>
      <c r="F99" s="320">
        <f t="shared" si="20"/>
        <v>607425</v>
      </c>
      <c r="G99" s="311" t="s">
        <v>102</v>
      </c>
      <c r="H99" s="293" t="s">
        <v>382</v>
      </c>
      <c r="I99" s="303">
        <f aca="true" t="shared" si="22" ref="I99:K101">SUM(I141+I183+I225+I267+I309+I351+I393)</f>
        <v>166245</v>
      </c>
      <c r="J99" s="303">
        <f t="shared" si="22"/>
        <v>0</v>
      </c>
      <c r="K99" s="303">
        <f t="shared" si="22"/>
        <v>0</v>
      </c>
      <c r="L99" s="303">
        <f t="shared" si="18"/>
        <v>166245</v>
      </c>
    </row>
    <row r="100" spans="1:12" ht="12.75">
      <c r="A100" s="311" t="s">
        <v>383</v>
      </c>
      <c r="B100" s="293" t="s">
        <v>384</v>
      </c>
      <c r="C100" s="303">
        <f aca="true" t="shared" si="23" ref="C100:D104">SUM(C142+C184+C226+C268+C310+C352+C394)</f>
        <v>415161</v>
      </c>
      <c r="D100" s="303">
        <f t="shared" si="23"/>
        <v>0</v>
      </c>
      <c r="E100" s="303">
        <f>SUM(E142+E184+E226+E268+E310+E352+E394)</f>
        <v>0</v>
      </c>
      <c r="F100" s="320">
        <f t="shared" si="20"/>
        <v>415161</v>
      </c>
      <c r="G100" s="311" t="s">
        <v>103</v>
      </c>
      <c r="H100" s="293" t="s">
        <v>385</v>
      </c>
      <c r="I100" s="303">
        <f t="shared" si="22"/>
        <v>252</v>
      </c>
      <c r="J100" s="303">
        <f t="shared" si="22"/>
        <v>0</v>
      </c>
      <c r="K100" s="303">
        <f t="shared" si="22"/>
        <v>0</v>
      </c>
      <c r="L100" s="303">
        <f t="shared" si="18"/>
        <v>252</v>
      </c>
    </row>
    <row r="101" spans="1:12" ht="12.75">
      <c r="A101" s="311" t="s">
        <v>386</v>
      </c>
      <c r="B101" s="293" t="s">
        <v>387</v>
      </c>
      <c r="C101" s="303">
        <f t="shared" si="23"/>
        <v>0</v>
      </c>
      <c r="D101" s="303">
        <f t="shared" si="23"/>
        <v>0</v>
      </c>
      <c r="E101" s="303">
        <f>SUM(E143+E185+E227+E269+E311+E353+E395)</f>
        <v>0</v>
      </c>
      <c r="F101" s="320">
        <f t="shared" si="20"/>
        <v>0</v>
      </c>
      <c r="G101" s="311" t="s">
        <v>104</v>
      </c>
      <c r="H101" s="293" t="s">
        <v>388</v>
      </c>
      <c r="I101" s="303">
        <f t="shared" si="22"/>
        <v>6056</v>
      </c>
      <c r="J101" s="303">
        <f t="shared" si="22"/>
        <v>0</v>
      </c>
      <c r="K101" s="303">
        <f t="shared" si="22"/>
        <v>0</v>
      </c>
      <c r="L101" s="303">
        <f t="shared" si="18"/>
        <v>6056</v>
      </c>
    </row>
    <row r="102" spans="1:12" ht="12.75">
      <c r="A102" s="311" t="s">
        <v>389</v>
      </c>
      <c r="B102" s="293" t="s">
        <v>390</v>
      </c>
      <c r="C102" s="303">
        <f t="shared" si="23"/>
        <v>192264</v>
      </c>
      <c r="D102" s="303">
        <f t="shared" si="23"/>
        <v>0</v>
      </c>
      <c r="E102" s="303">
        <f>SUM(E144+E186+E228+E270+E312+E354+E396)</f>
        <v>0</v>
      </c>
      <c r="F102" s="320">
        <f t="shared" si="20"/>
        <v>192264</v>
      </c>
      <c r="G102" s="311"/>
      <c r="H102" s="293"/>
      <c r="I102" s="303"/>
      <c r="J102" s="303"/>
      <c r="K102" s="303"/>
      <c r="L102" s="303">
        <f t="shared" si="18"/>
        <v>0</v>
      </c>
    </row>
    <row r="103" spans="1:12" ht="12.75">
      <c r="A103" s="317" t="s">
        <v>391</v>
      </c>
      <c r="B103" s="317" t="s">
        <v>392</v>
      </c>
      <c r="C103" s="303">
        <f t="shared" si="23"/>
        <v>39725</v>
      </c>
      <c r="D103" s="303">
        <f t="shared" si="23"/>
        <v>0</v>
      </c>
      <c r="E103" s="303">
        <f>SUM(E145+E187+E229+E271+E313+E355+E397)</f>
        <v>0</v>
      </c>
      <c r="F103" s="320">
        <f t="shared" si="20"/>
        <v>39725</v>
      </c>
      <c r="G103" s="317" t="s">
        <v>197</v>
      </c>
      <c r="H103" s="317" t="s">
        <v>393</v>
      </c>
      <c r="I103" s="303">
        <f>SUM(I145+I187+I229+I271+I313+I355+I397)</f>
        <v>62861</v>
      </c>
      <c r="J103" s="303">
        <f>SUM(J145+J187+J229+J271+J313+J355+J397)</f>
        <v>0</v>
      </c>
      <c r="K103" s="303">
        <f>SUM(K145+K187+K229+K271+K313+K355+K397)</f>
        <v>0</v>
      </c>
      <c r="L103" s="303">
        <f t="shared" si="18"/>
        <v>62861</v>
      </c>
    </row>
    <row r="104" spans="1:12" ht="12.75">
      <c r="A104" s="317" t="s">
        <v>394</v>
      </c>
      <c r="B104" s="317" t="s">
        <v>395</v>
      </c>
      <c r="C104" s="303">
        <f t="shared" si="23"/>
        <v>0</v>
      </c>
      <c r="D104" s="303">
        <f t="shared" si="23"/>
        <v>0</v>
      </c>
      <c r="E104" s="303">
        <f>SUM(E146+E188+E230+E272+E314+E356+E398)</f>
        <v>0</v>
      </c>
      <c r="F104" s="320">
        <f t="shared" si="20"/>
        <v>0</v>
      </c>
      <c r="G104" s="317" t="s">
        <v>198</v>
      </c>
      <c r="H104" s="317" t="s">
        <v>396</v>
      </c>
      <c r="I104" s="303">
        <f>SUM(I105:I106)</f>
        <v>5000</v>
      </c>
      <c r="J104" s="303">
        <f>SUM(J105:J106)</f>
        <v>0</v>
      </c>
      <c r="K104" s="303">
        <f>SUM(K105:K106)</f>
        <v>0</v>
      </c>
      <c r="L104" s="303">
        <f t="shared" si="18"/>
        <v>5000</v>
      </c>
    </row>
    <row r="105" spans="1:12" ht="12.75">
      <c r="A105" s="311"/>
      <c r="B105" s="293" t="s">
        <v>397</v>
      </c>
      <c r="C105" s="303"/>
      <c r="D105" s="303"/>
      <c r="E105" s="303"/>
      <c r="F105" s="320">
        <f t="shared" si="20"/>
        <v>0</v>
      </c>
      <c r="G105" s="311" t="s">
        <v>100</v>
      </c>
      <c r="H105" s="293" t="s">
        <v>398</v>
      </c>
      <c r="I105" s="303">
        <f>SUM(I147+I189+I231+I273+I315+I357+I399)</f>
        <v>0</v>
      </c>
      <c r="J105" s="303">
        <f>SUM(J147+J189+J231+J273+J315+J357+J399)</f>
        <v>0</v>
      </c>
      <c r="K105" s="303">
        <f>SUM(K147+K189+K231+K273+K315+K357+K399)</f>
        <v>0</v>
      </c>
      <c r="L105" s="303">
        <f t="shared" si="18"/>
        <v>0</v>
      </c>
    </row>
    <row r="106" spans="1:12" ht="12.75">
      <c r="A106" s="317" t="s">
        <v>399</v>
      </c>
      <c r="B106" s="317" t="s">
        <v>400</v>
      </c>
      <c r="C106" s="320">
        <f>SUM(C148+C190+C232+C274+C316+C358+C400)</f>
        <v>0</v>
      </c>
      <c r="D106" s="320">
        <f>SUM(D148+D190+D232+D274+D316+D358+D400)</f>
        <v>0</v>
      </c>
      <c r="E106" s="320">
        <f>SUM(E148+E190+E232+E274+E316+E358+E400)</f>
        <v>0</v>
      </c>
      <c r="F106" s="320">
        <f t="shared" si="20"/>
        <v>0</v>
      </c>
      <c r="G106" s="311" t="s">
        <v>101</v>
      </c>
      <c r="H106" s="293" t="s">
        <v>401</v>
      </c>
      <c r="I106" s="303">
        <f>SUM(I148+I190+I232+I274+I316+I358)</f>
        <v>5000</v>
      </c>
      <c r="J106" s="303">
        <f>SUM(J148+J190+J232+J274+J316+J358)</f>
        <v>0</v>
      </c>
      <c r="K106" s="303">
        <f>SUM(K148+K190+K232+K274+K316+K358)</f>
        <v>0</v>
      </c>
      <c r="L106" s="303">
        <f t="shared" si="18"/>
        <v>5000</v>
      </c>
    </row>
    <row r="107" spans="1:12" ht="12.75">
      <c r="A107" s="317" t="s">
        <v>198</v>
      </c>
      <c r="B107" s="317" t="s">
        <v>402</v>
      </c>
      <c r="C107" s="303"/>
      <c r="D107" s="303"/>
      <c r="E107" s="303"/>
      <c r="F107" s="320">
        <f t="shared" si="20"/>
        <v>0</v>
      </c>
      <c r="G107" s="311"/>
      <c r="H107" s="293"/>
      <c r="I107" s="303"/>
      <c r="J107" s="303"/>
      <c r="K107" s="303"/>
      <c r="L107" s="303"/>
    </row>
    <row r="108" spans="1:12" ht="12.75">
      <c r="A108" s="311"/>
      <c r="B108" s="301" t="s">
        <v>403</v>
      </c>
      <c r="C108" s="304">
        <f>SUM(C93+C94+C99+C103+C104+C106+C107)</f>
        <v>985169</v>
      </c>
      <c r="D108" s="304">
        <f>SUM(D93+D94+D99+D103+D104+D106+D107)</f>
        <v>-16347</v>
      </c>
      <c r="E108" s="304">
        <f>SUM(E93+E94+E99+E103+E104+E106+E107)</f>
        <v>0</v>
      </c>
      <c r="F108" s="304">
        <f>SUM(F93+F94+F99+F103+F104+F106+F107)</f>
        <v>968822</v>
      </c>
      <c r="G108" s="311"/>
      <c r="H108" s="301" t="s">
        <v>404</v>
      </c>
      <c r="I108" s="304">
        <f>SUM(I92)</f>
        <v>1148575</v>
      </c>
      <c r="J108" s="304">
        <f>SUM(J92)</f>
        <v>0</v>
      </c>
      <c r="K108" s="304">
        <f>SUM(K92)</f>
        <v>0</v>
      </c>
      <c r="L108" s="304">
        <f>SUM(L92)</f>
        <v>1148575</v>
      </c>
    </row>
    <row r="109" spans="1:12" ht="12.75">
      <c r="A109" s="311"/>
      <c r="B109" s="327" t="s">
        <v>405</v>
      </c>
      <c r="C109" s="328">
        <f>I110-C108</f>
        <v>163406</v>
      </c>
      <c r="D109" s="328">
        <f>J110-D108</f>
        <v>16347</v>
      </c>
      <c r="E109" s="328">
        <f>K110-E108</f>
        <v>0</v>
      </c>
      <c r="F109" s="328">
        <f>L110-F108</f>
        <v>179753</v>
      </c>
      <c r="G109" s="311"/>
      <c r="H109" s="293" t="s">
        <v>406</v>
      </c>
      <c r="I109" s="328">
        <f>SUM(I151,I193,I235,I277,I319,I361,I403)</f>
        <v>0</v>
      </c>
      <c r="J109" s="328">
        <f>SUM(J151,J193,J235,J277,J319,J361,J403)</f>
        <v>0</v>
      </c>
      <c r="K109" s="328">
        <f>SUM(K151,K193,K235,K277,K319,K361,K403)</f>
        <v>0</v>
      </c>
      <c r="L109" s="303"/>
    </row>
    <row r="110" spans="1:12" ht="12.75">
      <c r="A110" s="311"/>
      <c r="B110" s="317" t="s">
        <v>407</v>
      </c>
      <c r="C110" s="303"/>
      <c r="D110" s="303"/>
      <c r="E110" s="303"/>
      <c r="F110" s="303"/>
      <c r="G110" s="311"/>
      <c r="H110" s="301" t="s">
        <v>408</v>
      </c>
      <c r="I110" s="304">
        <f>SUM(I93+I94+I95+I96+I103+I104)</f>
        <v>1148575</v>
      </c>
      <c r="J110" s="304">
        <f>SUM(J93+J94+J95+J96+J103+J104)</f>
        <v>0</v>
      </c>
      <c r="K110" s="304">
        <f>SUM(K93+K94+K95+K96+K103+K104)</f>
        <v>0</v>
      </c>
      <c r="L110" s="304">
        <f>SUM(L93+L94+L95+L96+L103+L104)</f>
        <v>1148575</v>
      </c>
    </row>
    <row r="111" spans="1:12" ht="12.75">
      <c r="A111" s="317" t="s">
        <v>409</v>
      </c>
      <c r="B111" s="317" t="s">
        <v>410</v>
      </c>
      <c r="C111" s="303">
        <f aca="true" t="shared" si="24" ref="C111:D114">SUM(C153+C195+C237+C279+C321+C363+C405)</f>
        <v>22451</v>
      </c>
      <c r="D111" s="303">
        <f t="shared" si="24"/>
        <v>0</v>
      </c>
      <c r="E111" s="303">
        <f>SUM(E153+E195+E237+E279+E321+E363+E405)</f>
        <v>0</v>
      </c>
      <c r="F111" s="303">
        <f>SUM(C111:E111)</f>
        <v>22451</v>
      </c>
      <c r="G111" s="311"/>
      <c r="H111" s="327" t="s">
        <v>411</v>
      </c>
      <c r="I111" s="303"/>
      <c r="J111" s="303"/>
      <c r="K111" s="303"/>
      <c r="L111" s="303"/>
    </row>
    <row r="112" spans="1:12" ht="12.75">
      <c r="A112" s="317" t="s">
        <v>412</v>
      </c>
      <c r="B112" s="317" t="s">
        <v>413</v>
      </c>
      <c r="C112" s="303">
        <f t="shared" si="24"/>
        <v>10000</v>
      </c>
      <c r="D112" s="303">
        <f t="shared" si="24"/>
        <v>0</v>
      </c>
      <c r="E112" s="303">
        <f>SUM(E154+E196+E238+E280+E322+E364+E406)</f>
        <v>0</v>
      </c>
      <c r="F112" s="303">
        <f aca="true" t="shared" si="25" ref="F112:F125">SUM(C112:E112)</f>
        <v>10000</v>
      </c>
      <c r="G112" s="311"/>
      <c r="H112" s="317" t="s">
        <v>94</v>
      </c>
      <c r="I112" s="303"/>
      <c r="J112" s="303"/>
      <c r="K112" s="303"/>
      <c r="L112" s="303"/>
    </row>
    <row r="113" spans="1:12" ht="12.75">
      <c r="A113" s="317" t="s">
        <v>414</v>
      </c>
      <c r="B113" s="317" t="s">
        <v>415</v>
      </c>
      <c r="C113" s="303">
        <f t="shared" si="24"/>
        <v>14011</v>
      </c>
      <c r="D113" s="303">
        <f t="shared" si="24"/>
        <v>10394</v>
      </c>
      <c r="E113" s="303">
        <f>SUM(E155+E197+E239+E281+E323+E365+E407)</f>
        <v>0</v>
      </c>
      <c r="F113" s="303">
        <f t="shared" si="25"/>
        <v>24405</v>
      </c>
      <c r="G113" s="317" t="s">
        <v>194</v>
      </c>
      <c r="H113" s="317" t="s">
        <v>416</v>
      </c>
      <c r="I113" s="303">
        <f>SUM(I155+I197+I239+I281+I323+I365+I407)</f>
        <v>26935</v>
      </c>
      <c r="J113" s="303">
        <f>SUM(J155+J197+J239+J281+J323+J365+J407)</f>
        <v>0</v>
      </c>
      <c r="K113" s="303">
        <f>SUM(K155+K197+K239+K281+K323+K365+K407)</f>
        <v>0</v>
      </c>
      <c r="L113" s="303">
        <f>SUM(L155+L197+L239+L281+L323+L365+L407)</f>
        <v>26935</v>
      </c>
    </row>
    <row r="114" spans="1:12" ht="12.75">
      <c r="A114" s="317" t="s">
        <v>417</v>
      </c>
      <c r="B114" s="317" t="s">
        <v>193</v>
      </c>
      <c r="C114" s="303">
        <f t="shared" si="24"/>
        <v>6147</v>
      </c>
      <c r="D114" s="303">
        <f t="shared" si="24"/>
        <v>0</v>
      </c>
      <c r="E114" s="303">
        <f>SUM(E156+E198+E240+E282+E324+E366+E408)</f>
        <v>0</v>
      </c>
      <c r="F114" s="303">
        <f t="shared" si="25"/>
        <v>6147</v>
      </c>
      <c r="G114" s="317" t="s">
        <v>195</v>
      </c>
      <c r="H114" s="317" t="s">
        <v>377</v>
      </c>
      <c r="I114" s="303">
        <f>SUM(I115:I116)</f>
        <v>0</v>
      </c>
      <c r="J114" s="303">
        <f>SUM(J115:J116)</f>
        <v>0</v>
      </c>
      <c r="K114" s="303">
        <f>SUM(K115:K116)</f>
        <v>0</v>
      </c>
      <c r="L114" s="303">
        <f aca="true" t="shared" si="26" ref="L114:L123">SUM(L156+L198+L240+L282+L324+L366+L408)</f>
        <v>0</v>
      </c>
    </row>
    <row r="115" spans="1:12" ht="12.75">
      <c r="A115" s="317" t="s">
        <v>194</v>
      </c>
      <c r="B115" s="317" t="s">
        <v>418</v>
      </c>
      <c r="C115" s="303">
        <f>SUM(C116:C118)</f>
        <v>4000</v>
      </c>
      <c r="D115" s="303">
        <f>SUM(D116:D118)</f>
        <v>5953</v>
      </c>
      <c r="E115" s="303">
        <f>SUM(E116:E118)</f>
        <v>0</v>
      </c>
      <c r="F115" s="303">
        <f t="shared" si="25"/>
        <v>9953</v>
      </c>
      <c r="G115" s="311" t="s">
        <v>100</v>
      </c>
      <c r="H115" s="293" t="s">
        <v>96</v>
      </c>
      <c r="I115" s="303">
        <f aca="true" t="shared" si="27" ref="I115:K116">SUM(I157+I199+I241+I283+I325+I367+I409)</f>
        <v>0</v>
      </c>
      <c r="J115" s="303">
        <f>SUM(J157+J199+J241+J283+J325+J367+J409)</f>
        <v>0</v>
      </c>
      <c r="K115" s="303">
        <f t="shared" si="27"/>
        <v>0</v>
      </c>
      <c r="L115" s="303">
        <f t="shared" si="26"/>
        <v>0</v>
      </c>
    </row>
    <row r="116" spans="1:12" ht="12.75">
      <c r="A116" s="311" t="s">
        <v>100</v>
      </c>
      <c r="B116" s="330" t="s">
        <v>419</v>
      </c>
      <c r="C116" s="303">
        <f aca="true" t="shared" si="28" ref="C116:E123">SUM(C158+C200+C242+C284+C326+C368+C410)</f>
        <v>0</v>
      </c>
      <c r="D116" s="303">
        <f aca="true" t="shared" si="29" ref="D116:D123">SUM(D158+D200+D242+D284+D326+D368+D410)</f>
        <v>0</v>
      </c>
      <c r="E116" s="303">
        <f t="shared" si="28"/>
        <v>0</v>
      </c>
      <c r="F116" s="303">
        <f t="shared" si="25"/>
        <v>0</v>
      </c>
      <c r="G116" s="311" t="s">
        <v>101</v>
      </c>
      <c r="H116" s="293" t="s">
        <v>420</v>
      </c>
      <c r="I116" s="303">
        <f t="shared" si="27"/>
        <v>0</v>
      </c>
      <c r="J116" s="303">
        <f>SUM(J158+J200+J242+J284+J326+J368+J410)</f>
        <v>0</v>
      </c>
      <c r="K116" s="303">
        <f t="shared" si="27"/>
        <v>0</v>
      </c>
      <c r="L116" s="303">
        <f t="shared" si="26"/>
        <v>0</v>
      </c>
    </row>
    <row r="117" spans="1:12" ht="12.75">
      <c r="A117" s="311" t="s">
        <v>101</v>
      </c>
      <c r="B117" s="330" t="s">
        <v>421</v>
      </c>
      <c r="C117" s="303">
        <f t="shared" si="28"/>
        <v>4000</v>
      </c>
      <c r="D117" s="303">
        <f t="shared" si="29"/>
        <v>5953</v>
      </c>
      <c r="E117" s="303">
        <f t="shared" si="28"/>
        <v>0</v>
      </c>
      <c r="F117" s="303">
        <f t="shared" si="25"/>
        <v>9953</v>
      </c>
      <c r="G117" s="317" t="s">
        <v>196</v>
      </c>
      <c r="H117" s="317" t="s">
        <v>422</v>
      </c>
      <c r="I117" s="303">
        <f>SUM(I118:I120)</f>
        <v>190047</v>
      </c>
      <c r="J117" s="303">
        <f>SUM(J118:J120)</f>
        <v>0</v>
      </c>
      <c r="K117" s="303">
        <f>SUM(K118:K120)</f>
        <v>982775</v>
      </c>
      <c r="L117" s="303">
        <f t="shared" si="26"/>
        <v>1172822</v>
      </c>
    </row>
    <row r="118" spans="1:12" ht="12.75">
      <c r="A118" s="311" t="s">
        <v>102</v>
      </c>
      <c r="B118" s="330" t="s">
        <v>161</v>
      </c>
      <c r="C118" s="303">
        <f t="shared" si="28"/>
        <v>0</v>
      </c>
      <c r="D118" s="303">
        <f t="shared" si="29"/>
        <v>0</v>
      </c>
      <c r="E118" s="303">
        <f t="shared" si="28"/>
        <v>0</v>
      </c>
      <c r="F118" s="303">
        <f t="shared" si="25"/>
        <v>0</v>
      </c>
      <c r="G118" s="311" t="s">
        <v>100</v>
      </c>
      <c r="H118" s="330" t="s">
        <v>117</v>
      </c>
      <c r="I118" s="303">
        <f aca="true" t="shared" si="30" ref="I118:K123">SUM(I160+I202+I244+I286+I328+I370+I412)</f>
        <v>15875</v>
      </c>
      <c r="J118" s="303">
        <f aca="true" t="shared" si="31" ref="J118:J123">SUM(J160+J202+J244+J286+J328+J370+J412)</f>
        <v>0</v>
      </c>
      <c r="K118" s="303">
        <f t="shared" si="30"/>
        <v>0</v>
      </c>
      <c r="L118" s="303">
        <f t="shared" si="26"/>
        <v>15875</v>
      </c>
    </row>
    <row r="119" spans="1:12" ht="12.75">
      <c r="A119" s="317" t="s">
        <v>423</v>
      </c>
      <c r="B119" s="317" t="s">
        <v>424</v>
      </c>
      <c r="C119" s="303">
        <f t="shared" si="28"/>
        <v>52835</v>
      </c>
      <c r="D119" s="303">
        <f t="shared" si="29"/>
        <v>0</v>
      </c>
      <c r="E119" s="303">
        <f t="shared" si="28"/>
        <v>982775</v>
      </c>
      <c r="F119" s="303">
        <f t="shared" si="25"/>
        <v>1035610</v>
      </c>
      <c r="G119" s="311" t="s">
        <v>101</v>
      </c>
      <c r="H119" s="330" t="s">
        <v>97</v>
      </c>
      <c r="I119" s="303">
        <f t="shared" si="30"/>
        <v>174172</v>
      </c>
      <c r="J119" s="303">
        <f t="shared" si="31"/>
        <v>0</v>
      </c>
      <c r="K119" s="303">
        <f t="shared" si="30"/>
        <v>982775</v>
      </c>
      <c r="L119" s="303">
        <f t="shared" si="26"/>
        <v>1156947</v>
      </c>
    </row>
    <row r="120" spans="1:12" ht="12.75">
      <c r="A120" s="317" t="s">
        <v>425</v>
      </c>
      <c r="B120" s="317" t="s">
        <v>426</v>
      </c>
      <c r="C120" s="303">
        <f t="shared" si="28"/>
        <v>1073</v>
      </c>
      <c r="D120" s="303">
        <f t="shared" si="29"/>
        <v>0</v>
      </c>
      <c r="E120" s="303">
        <f t="shared" si="28"/>
        <v>0</v>
      </c>
      <c r="F120" s="303">
        <f t="shared" si="25"/>
        <v>1073</v>
      </c>
      <c r="G120" s="311" t="s">
        <v>102</v>
      </c>
      <c r="H120" s="293" t="s">
        <v>163</v>
      </c>
      <c r="I120" s="303">
        <f t="shared" si="30"/>
        <v>0</v>
      </c>
      <c r="J120" s="303">
        <f t="shared" si="31"/>
        <v>0</v>
      </c>
      <c r="K120" s="303">
        <f t="shared" si="30"/>
        <v>0</v>
      </c>
      <c r="L120" s="303">
        <f t="shared" si="26"/>
        <v>0</v>
      </c>
    </row>
    <row r="121" spans="1:12" ht="12.75">
      <c r="A121" s="317" t="s">
        <v>196</v>
      </c>
      <c r="B121" s="317" t="s">
        <v>427</v>
      </c>
      <c r="C121" s="303">
        <f t="shared" si="28"/>
        <v>0</v>
      </c>
      <c r="D121" s="303">
        <f t="shared" si="29"/>
        <v>0</v>
      </c>
      <c r="E121" s="303">
        <f t="shared" si="28"/>
        <v>0</v>
      </c>
      <c r="F121" s="303">
        <f t="shared" si="25"/>
        <v>0</v>
      </c>
      <c r="G121" s="317" t="s">
        <v>197</v>
      </c>
      <c r="H121" s="317" t="s">
        <v>428</v>
      </c>
      <c r="I121" s="303">
        <f t="shared" si="30"/>
        <v>6116</v>
      </c>
      <c r="J121" s="303">
        <f t="shared" si="31"/>
        <v>0</v>
      </c>
      <c r="K121" s="303">
        <f>SUM(K163+K205+K247+K289+K331+K373+K415)</f>
        <v>0</v>
      </c>
      <c r="L121" s="303">
        <f t="shared" si="26"/>
        <v>6116</v>
      </c>
    </row>
    <row r="122" spans="1:12" ht="12.75">
      <c r="A122" s="317" t="s">
        <v>197</v>
      </c>
      <c r="B122" s="317" t="s">
        <v>428</v>
      </c>
      <c r="C122" s="303">
        <f t="shared" si="28"/>
        <v>0</v>
      </c>
      <c r="D122" s="303">
        <f t="shared" si="29"/>
        <v>0</v>
      </c>
      <c r="E122" s="303">
        <f t="shared" si="28"/>
        <v>0</v>
      </c>
      <c r="F122" s="303">
        <f t="shared" si="25"/>
        <v>0</v>
      </c>
      <c r="G122" s="317" t="s">
        <v>198</v>
      </c>
      <c r="H122" s="317" t="s">
        <v>396</v>
      </c>
      <c r="I122" s="303">
        <f t="shared" si="30"/>
        <v>0</v>
      </c>
      <c r="J122" s="303">
        <f t="shared" si="31"/>
        <v>16347</v>
      </c>
      <c r="K122" s="303">
        <f t="shared" si="30"/>
        <v>0</v>
      </c>
      <c r="L122" s="303">
        <f t="shared" si="26"/>
        <v>16347</v>
      </c>
    </row>
    <row r="123" spans="1:12" ht="12.75">
      <c r="A123" s="317" t="s">
        <v>198</v>
      </c>
      <c r="B123" s="317" t="s">
        <v>402</v>
      </c>
      <c r="C123" s="303">
        <f t="shared" si="28"/>
        <v>112581</v>
      </c>
      <c r="D123" s="303">
        <f t="shared" si="29"/>
        <v>0</v>
      </c>
      <c r="E123" s="303">
        <f t="shared" si="28"/>
        <v>0</v>
      </c>
      <c r="F123" s="303">
        <f t="shared" si="25"/>
        <v>112581</v>
      </c>
      <c r="G123" s="311" t="s">
        <v>100</v>
      </c>
      <c r="H123" s="293" t="s">
        <v>398</v>
      </c>
      <c r="I123" s="303">
        <f t="shared" si="30"/>
        <v>0</v>
      </c>
      <c r="J123" s="303">
        <f t="shared" si="31"/>
        <v>16347</v>
      </c>
      <c r="K123" s="303">
        <f t="shared" si="30"/>
        <v>0</v>
      </c>
      <c r="L123" s="303">
        <f t="shared" si="26"/>
        <v>15467</v>
      </c>
    </row>
    <row r="124" spans="1:12" ht="12.75">
      <c r="A124" s="311"/>
      <c r="B124" s="301" t="s">
        <v>429</v>
      </c>
      <c r="C124" s="304">
        <f>SUM(C111+C112+C113+C114+C115+C119+C120+C121+C122+C123)</f>
        <v>223098</v>
      </c>
      <c r="D124" s="304">
        <f>SUM(D111+D112+D113+D114+D115+D119+D120+D121+D122+D123)</f>
        <v>16347</v>
      </c>
      <c r="E124" s="304">
        <f>SUM(E111+E112+E113+E114+E115+E119+E120+E121+E122+E123)</f>
        <v>982775</v>
      </c>
      <c r="F124" s="304">
        <f>SUM(F111+F112+F113+F114+F115+F119+F120+F121+F122+F123)</f>
        <v>1222220</v>
      </c>
      <c r="G124" s="311" t="s">
        <v>441</v>
      </c>
      <c r="H124" s="301" t="s">
        <v>430</v>
      </c>
      <c r="I124" s="304">
        <f>SUM(I113+I114+I117+I121+I122)</f>
        <v>223098</v>
      </c>
      <c r="J124" s="304">
        <f>SUM(J113+J114+J117+J121+J122)</f>
        <v>16347</v>
      </c>
      <c r="K124" s="304">
        <f>SUM(K113+K114+K117+K121+K122)</f>
        <v>982775</v>
      </c>
      <c r="L124" s="304">
        <f>SUM(L113+L114+L117+L121+L122)</f>
        <v>1222220</v>
      </c>
    </row>
    <row r="125" spans="1:12" ht="12.75">
      <c r="A125" s="311"/>
      <c r="B125" s="327" t="s">
        <v>433</v>
      </c>
      <c r="C125" s="328">
        <f>I124-C124</f>
        <v>0</v>
      </c>
      <c r="D125" s="328">
        <f>J124-D124</f>
        <v>0</v>
      </c>
      <c r="E125" s="328">
        <f>K124-E124</f>
        <v>0</v>
      </c>
      <c r="F125" s="303">
        <f t="shared" si="25"/>
        <v>0</v>
      </c>
      <c r="G125" s="311" t="s">
        <v>442</v>
      </c>
      <c r="H125" s="293" t="s">
        <v>434</v>
      </c>
      <c r="I125" s="303">
        <f>SUM(I167+I209+I251+I293+I335+I377+I419)</f>
        <v>0</v>
      </c>
      <c r="J125" s="303">
        <f>SUM(J167+J209+J251+J293+J335+J377+J419)</f>
        <v>0</v>
      </c>
      <c r="K125" s="303">
        <f>SUM(K167+K209+K251+K293+K335+K377+K419)</f>
        <v>0</v>
      </c>
      <c r="L125" s="303">
        <f>SUM(L167+L209+L251+L293+L335+L377+L419)</f>
        <v>0</v>
      </c>
    </row>
    <row r="126" spans="1:12" ht="13.5">
      <c r="A126" s="311"/>
      <c r="B126" s="332" t="s">
        <v>435</v>
      </c>
      <c r="C126" s="333">
        <f>SUM(C125+C109)</f>
        <v>163406</v>
      </c>
      <c r="D126" s="333">
        <f>SUM(D125+D109)</f>
        <v>16347</v>
      </c>
      <c r="E126" s="333">
        <f>SUM(E125+E109)</f>
        <v>0</v>
      </c>
      <c r="F126" s="333">
        <f>SUM(F125+F109)</f>
        <v>179753</v>
      </c>
      <c r="G126" s="311" t="s">
        <v>443</v>
      </c>
      <c r="H126" s="332" t="s">
        <v>436</v>
      </c>
      <c r="I126" s="320">
        <f>SUM(I109,I125)</f>
        <v>0</v>
      </c>
      <c r="J126" s="320">
        <f>SUM(J109,J125)</f>
        <v>0</v>
      </c>
      <c r="K126" s="320">
        <f>SUM(K109,K125)</f>
        <v>0</v>
      </c>
      <c r="L126" s="303">
        <f>SUM(L168+L210+L252+L294+L336+L378+L420)</f>
        <v>0</v>
      </c>
    </row>
    <row r="127" spans="1:12" ht="12.75">
      <c r="A127" s="311"/>
      <c r="B127" s="301" t="s">
        <v>449</v>
      </c>
      <c r="C127" s="304">
        <f>SUM(C124+C108+C126)</f>
        <v>1371673</v>
      </c>
      <c r="D127" s="304">
        <f>SUM(D124+D108+D126)</f>
        <v>16347</v>
      </c>
      <c r="E127" s="304">
        <f>SUM(E124+E108+E126)</f>
        <v>982775</v>
      </c>
      <c r="F127" s="304">
        <f>SUM(F124+F108+F126)</f>
        <v>2370795</v>
      </c>
      <c r="G127" s="311" t="s">
        <v>445</v>
      </c>
      <c r="H127" s="301" t="s">
        <v>450</v>
      </c>
      <c r="I127" s="304">
        <f>SUM(I110,I124,I126)</f>
        <v>1371673</v>
      </c>
      <c r="J127" s="304">
        <f>SUM(J110,J124,J126)</f>
        <v>16347</v>
      </c>
      <c r="K127" s="304">
        <f>SUM(K110,K124,K126)</f>
        <v>982775</v>
      </c>
      <c r="L127" s="304">
        <f>SUM(L110,L124,L126)</f>
        <v>2370795</v>
      </c>
    </row>
    <row r="128" spans="1:12" ht="12.75" customHeight="1">
      <c r="A128" s="564" t="s">
        <v>451</v>
      </c>
      <c r="B128" s="564"/>
      <c r="C128" s="564"/>
      <c r="D128" s="564"/>
      <c r="E128" s="564"/>
      <c r="F128" s="564"/>
      <c r="G128" s="564"/>
      <c r="H128" s="564"/>
      <c r="I128" s="564"/>
      <c r="J128" s="564"/>
      <c r="K128" s="564"/>
      <c r="L128" s="564"/>
    </row>
    <row r="129" spans="1:12" ht="12.75" customHeight="1">
      <c r="A129" s="564"/>
      <c r="B129" s="564"/>
      <c r="C129" s="564"/>
      <c r="D129" s="564"/>
      <c r="E129" s="564"/>
      <c r="F129" s="564"/>
      <c r="G129" s="564"/>
      <c r="H129" s="564"/>
      <c r="I129" s="564"/>
      <c r="J129" s="564"/>
      <c r="K129" s="564"/>
      <c r="L129" s="564"/>
    </row>
    <row r="130" spans="1:12" ht="15.75">
      <c r="A130" s="315" t="s">
        <v>447</v>
      </c>
      <c r="B130" s="58"/>
      <c r="C130" s="316"/>
      <c r="D130" s="316"/>
      <c r="E130" s="316"/>
      <c r="F130" s="316"/>
      <c r="G130" s="58"/>
      <c r="H130" s="58"/>
      <c r="I130" s="565" t="s">
        <v>364</v>
      </c>
      <c r="J130" s="566"/>
      <c r="K130" s="566"/>
      <c r="L130" s="566"/>
    </row>
    <row r="131" spans="1:12" ht="12.75" customHeight="1">
      <c r="A131" s="567" t="s">
        <v>365</v>
      </c>
      <c r="B131" s="569" t="s">
        <v>142</v>
      </c>
      <c r="C131" s="571" t="s">
        <v>155</v>
      </c>
      <c r="D131" s="571" t="s">
        <v>52</v>
      </c>
      <c r="E131" s="571" t="s">
        <v>53</v>
      </c>
      <c r="F131" s="571" t="s">
        <v>54</v>
      </c>
      <c r="G131" s="567" t="s">
        <v>365</v>
      </c>
      <c r="H131" s="569" t="s">
        <v>369</v>
      </c>
      <c r="I131" s="571" t="s">
        <v>155</v>
      </c>
      <c r="J131" s="571" t="s">
        <v>52</v>
      </c>
      <c r="K131" s="571" t="s">
        <v>53</v>
      </c>
      <c r="L131" s="571" t="s">
        <v>54</v>
      </c>
    </row>
    <row r="132" spans="1:12" ht="12.75" customHeight="1">
      <c r="A132" s="567"/>
      <c r="B132" s="569"/>
      <c r="C132" s="572"/>
      <c r="D132" s="572"/>
      <c r="E132" s="572"/>
      <c r="F132" s="574"/>
      <c r="G132" s="567"/>
      <c r="H132" s="569"/>
      <c r="I132" s="572"/>
      <c r="J132" s="572"/>
      <c r="K132" s="572"/>
      <c r="L132" s="574"/>
    </row>
    <row r="133" spans="1:12" ht="12.75">
      <c r="A133" s="568"/>
      <c r="B133" s="570"/>
      <c r="C133" s="573"/>
      <c r="D133" s="573"/>
      <c r="E133" s="573"/>
      <c r="F133" s="575"/>
      <c r="G133" s="568"/>
      <c r="H133" s="570"/>
      <c r="I133" s="573"/>
      <c r="J133" s="573"/>
      <c r="K133" s="573"/>
      <c r="L133" s="575"/>
    </row>
    <row r="134" spans="1:12" ht="12.75">
      <c r="A134" s="317" t="s">
        <v>88</v>
      </c>
      <c r="B134" s="317" t="s">
        <v>185</v>
      </c>
      <c r="C134" s="318"/>
      <c r="D134" s="318"/>
      <c r="E134" s="318"/>
      <c r="F134" s="318"/>
      <c r="G134" s="317"/>
      <c r="H134" s="317" t="s">
        <v>91</v>
      </c>
      <c r="I134" s="318">
        <f>SUM(I135:I137,I138,I145,I146)</f>
        <v>592081</v>
      </c>
      <c r="J134" s="318">
        <f>SUM(J135:J137,J138,J145,J146)</f>
        <v>0</v>
      </c>
      <c r="K134" s="318">
        <f>SUM(K135:K137,K138,K145,K146)</f>
        <v>0</v>
      </c>
      <c r="L134" s="318">
        <f>SUM(I134:K134)</f>
        <v>592081</v>
      </c>
    </row>
    <row r="135" spans="1:12" ht="12.75">
      <c r="A135" s="311" t="s">
        <v>100</v>
      </c>
      <c r="B135" s="296" t="s">
        <v>370</v>
      </c>
      <c r="C135" s="320">
        <v>15591</v>
      </c>
      <c r="D135" s="320">
        <v>-5073</v>
      </c>
      <c r="E135" s="320"/>
      <c r="F135" s="320">
        <f>SUM(C135:E135)</f>
        <v>10518</v>
      </c>
      <c r="G135" s="317" t="s">
        <v>88</v>
      </c>
      <c r="H135" s="317" t="s">
        <v>92</v>
      </c>
      <c r="I135" s="303">
        <v>188375</v>
      </c>
      <c r="J135" s="303"/>
      <c r="K135" s="303"/>
      <c r="L135" s="318">
        <f aca="true" t="shared" si="32" ref="L135:L148">SUM(I135:K135)</f>
        <v>188375</v>
      </c>
    </row>
    <row r="136" spans="1:12" ht="12.75">
      <c r="A136" s="311" t="s">
        <v>101</v>
      </c>
      <c r="B136" s="296" t="s">
        <v>371</v>
      </c>
      <c r="C136" s="320">
        <f>SUM(C137:C139)</f>
        <v>281420</v>
      </c>
      <c r="D136" s="320">
        <f>SUM(D137:D139)</f>
        <v>-10394</v>
      </c>
      <c r="E136" s="320">
        <f>SUM(E137:E139)</f>
        <v>0</v>
      </c>
      <c r="F136" s="320">
        <f aca="true" t="shared" si="33" ref="F136:F148">SUM(C136:E136)</f>
        <v>271026</v>
      </c>
      <c r="G136" s="317" t="s">
        <v>372</v>
      </c>
      <c r="H136" s="317" t="s">
        <v>93</v>
      </c>
      <c r="I136" s="303">
        <v>54261</v>
      </c>
      <c r="J136" s="303"/>
      <c r="K136" s="303"/>
      <c r="L136" s="318">
        <f t="shared" si="32"/>
        <v>54261</v>
      </c>
    </row>
    <row r="137" spans="1:12" ht="12.75">
      <c r="A137" s="323" t="s">
        <v>373</v>
      </c>
      <c r="B137" s="293" t="s">
        <v>374</v>
      </c>
      <c r="C137" s="303">
        <v>66800</v>
      </c>
      <c r="D137" s="303"/>
      <c r="E137" s="303"/>
      <c r="F137" s="320">
        <f t="shared" si="33"/>
        <v>66800</v>
      </c>
      <c r="G137" s="317" t="s">
        <v>194</v>
      </c>
      <c r="H137" s="317" t="s">
        <v>269</v>
      </c>
      <c r="I137" s="303">
        <v>95779</v>
      </c>
      <c r="J137" s="303"/>
      <c r="K137" s="303"/>
      <c r="L137" s="318">
        <f t="shared" si="32"/>
        <v>95779</v>
      </c>
    </row>
    <row r="138" spans="1:12" ht="12.75">
      <c r="A138" s="323" t="s">
        <v>375</v>
      </c>
      <c r="B138" s="293" t="s">
        <v>376</v>
      </c>
      <c r="C138" s="303">
        <v>211620</v>
      </c>
      <c r="D138" s="303">
        <v>-10394</v>
      </c>
      <c r="E138" s="303"/>
      <c r="F138" s="320">
        <f t="shared" si="33"/>
        <v>201226</v>
      </c>
      <c r="G138" s="317" t="s">
        <v>195</v>
      </c>
      <c r="H138" s="317" t="s">
        <v>377</v>
      </c>
      <c r="I138" s="303">
        <f>SUM(I139:I143)</f>
        <v>185805</v>
      </c>
      <c r="J138" s="303"/>
      <c r="K138" s="303"/>
      <c r="L138" s="318">
        <f t="shared" si="32"/>
        <v>185805</v>
      </c>
    </row>
    <row r="139" spans="1:12" ht="12.75">
      <c r="A139" s="323" t="s">
        <v>378</v>
      </c>
      <c r="B139" s="293" t="s">
        <v>379</v>
      </c>
      <c r="C139" s="303">
        <v>3000</v>
      </c>
      <c r="D139" s="303"/>
      <c r="E139" s="303"/>
      <c r="F139" s="320">
        <f t="shared" si="33"/>
        <v>3000</v>
      </c>
      <c r="G139" s="311" t="s">
        <v>100</v>
      </c>
      <c r="H139" s="293" t="s">
        <v>96</v>
      </c>
      <c r="I139" s="303">
        <f>500+3000+1300+275+513</f>
        <v>5588</v>
      </c>
      <c r="J139" s="303"/>
      <c r="K139" s="303"/>
      <c r="L139" s="318">
        <f t="shared" si="32"/>
        <v>5588</v>
      </c>
    </row>
    <row r="140" spans="1:12" ht="12.75">
      <c r="A140" s="324" t="s">
        <v>192</v>
      </c>
      <c r="B140" s="317" t="s">
        <v>186</v>
      </c>
      <c r="C140" s="303"/>
      <c r="D140" s="303"/>
      <c r="E140" s="303"/>
      <c r="F140" s="320">
        <f t="shared" si="33"/>
        <v>0</v>
      </c>
      <c r="G140" s="311" t="s">
        <v>101</v>
      </c>
      <c r="H140" s="293" t="s">
        <v>380</v>
      </c>
      <c r="I140" s="303">
        <v>13972</v>
      </c>
      <c r="J140" s="303"/>
      <c r="K140" s="303"/>
      <c r="L140" s="318">
        <f t="shared" si="32"/>
        <v>13972</v>
      </c>
    </row>
    <row r="141" spans="1:12" ht="12.75">
      <c r="A141" s="311" t="s">
        <v>100</v>
      </c>
      <c r="B141" s="296" t="s">
        <v>381</v>
      </c>
      <c r="C141" s="320">
        <f>SUM(C142:C144)</f>
        <v>284826</v>
      </c>
      <c r="D141" s="320">
        <f>SUM(D142:D144)</f>
        <v>0</v>
      </c>
      <c r="E141" s="320">
        <f>SUM(E142:E144)</f>
        <v>0</v>
      </c>
      <c r="F141" s="320">
        <f t="shared" si="33"/>
        <v>284826</v>
      </c>
      <c r="G141" s="311" t="s">
        <v>102</v>
      </c>
      <c r="H141" s="293" t="s">
        <v>382</v>
      </c>
      <c r="I141" s="303">
        <f>16355+149890</f>
        <v>166245</v>
      </c>
      <c r="J141" s="303"/>
      <c r="K141" s="303"/>
      <c r="L141" s="318">
        <f t="shared" si="32"/>
        <v>166245</v>
      </c>
    </row>
    <row r="142" spans="1:12" ht="12.75">
      <c r="A142" s="311" t="s">
        <v>383</v>
      </c>
      <c r="B142" s="293" t="s">
        <v>384</v>
      </c>
      <c r="C142" s="303">
        <v>94104</v>
      </c>
      <c r="D142" s="303"/>
      <c r="E142" s="303"/>
      <c r="F142" s="320">
        <f t="shared" si="33"/>
        <v>94104</v>
      </c>
      <c r="G142" s="311" t="s">
        <v>103</v>
      </c>
      <c r="H142" s="293" t="s">
        <v>385</v>
      </c>
      <c r="I142" s="303">
        <v>0</v>
      </c>
      <c r="J142" s="303"/>
      <c r="K142" s="303"/>
      <c r="L142" s="318">
        <f t="shared" si="32"/>
        <v>0</v>
      </c>
    </row>
    <row r="143" spans="1:12" ht="12.75">
      <c r="A143" s="311" t="s">
        <v>386</v>
      </c>
      <c r="B143" s="293" t="s">
        <v>387</v>
      </c>
      <c r="C143" s="303">
        <v>0</v>
      </c>
      <c r="D143" s="303"/>
      <c r="E143" s="303"/>
      <c r="F143" s="320">
        <f t="shared" si="33"/>
        <v>0</v>
      </c>
      <c r="G143" s="311" t="s">
        <v>104</v>
      </c>
      <c r="H143" s="293" t="s">
        <v>388</v>
      </c>
      <c r="I143" s="303">
        <v>0</v>
      </c>
      <c r="J143" s="303"/>
      <c r="K143" s="303"/>
      <c r="L143" s="318">
        <f t="shared" si="32"/>
        <v>0</v>
      </c>
    </row>
    <row r="144" spans="1:12" ht="12.75">
      <c r="A144" s="311" t="s">
        <v>389</v>
      </c>
      <c r="B144" s="293" t="s">
        <v>390</v>
      </c>
      <c r="C144" s="303">
        <v>190722</v>
      </c>
      <c r="D144" s="303"/>
      <c r="E144" s="303"/>
      <c r="F144" s="320">
        <f t="shared" si="33"/>
        <v>190722</v>
      </c>
      <c r="G144" s="311"/>
      <c r="H144" s="293"/>
      <c r="I144" s="303"/>
      <c r="J144" s="303"/>
      <c r="K144" s="303"/>
      <c r="L144" s="318">
        <f t="shared" si="32"/>
        <v>0</v>
      </c>
    </row>
    <row r="145" spans="1:12" ht="12.75">
      <c r="A145" s="317" t="s">
        <v>391</v>
      </c>
      <c r="B145" s="317" t="s">
        <v>392</v>
      </c>
      <c r="C145" s="303">
        <v>320</v>
      </c>
      <c r="D145" s="303"/>
      <c r="E145" s="303"/>
      <c r="F145" s="320">
        <f t="shared" si="33"/>
        <v>320</v>
      </c>
      <c r="G145" s="317" t="s">
        <v>197</v>
      </c>
      <c r="H145" s="317" t="s">
        <v>393</v>
      </c>
      <c r="I145" s="303">
        <v>62861</v>
      </c>
      <c r="J145" s="303"/>
      <c r="K145" s="303"/>
      <c r="L145" s="318">
        <f t="shared" si="32"/>
        <v>62861</v>
      </c>
    </row>
    <row r="146" spans="1:12" ht="12.75">
      <c r="A146" s="317" t="s">
        <v>394</v>
      </c>
      <c r="B146" s="317" t="s">
        <v>395</v>
      </c>
      <c r="C146" s="303"/>
      <c r="D146" s="303"/>
      <c r="E146" s="303"/>
      <c r="F146" s="320">
        <f t="shared" si="33"/>
        <v>0</v>
      </c>
      <c r="G146" s="317" t="s">
        <v>198</v>
      </c>
      <c r="H146" s="317" t="s">
        <v>396</v>
      </c>
      <c r="I146" s="303">
        <f>SUM(I147:I148)</f>
        <v>5000</v>
      </c>
      <c r="J146" s="303"/>
      <c r="K146" s="303"/>
      <c r="L146" s="318">
        <f t="shared" si="32"/>
        <v>5000</v>
      </c>
    </row>
    <row r="147" spans="1:12" ht="12.75">
      <c r="A147" s="311"/>
      <c r="B147" s="293" t="s">
        <v>397</v>
      </c>
      <c r="C147" s="303"/>
      <c r="D147" s="303"/>
      <c r="E147" s="303"/>
      <c r="F147" s="320">
        <f t="shared" si="33"/>
        <v>0</v>
      </c>
      <c r="G147" s="311" t="s">
        <v>100</v>
      </c>
      <c r="H147" s="293" t="s">
        <v>398</v>
      </c>
      <c r="I147" s="303"/>
      <c r="J147" s="303"/>
      <c r="K147" s="303"/>
      <c r="L147" s="318">
        <f t="shared" si="32"/>
        <v>0</v>
      </c>
    </row>
    <row r="148" spans="1:12" ht="12.75">
      <c r="A148" s="317" t="s">
        <v>399</v>
      </c>
      <c r="B148" s="317" t="s">
        <v>400</v>
      </c>
      <c r="C148" s="320">
        <v>0</v>
      </c>
      <c r="D148" s="320"/>
      <c r="E148" s="320"/>
      <c r="F148" s="320">
        <f t="shared" si="33"/>
        <v>0</v>
      </c>
      <c r="G148" s="311" t="s">
        <v>101</v>
      </c>
      <c r="H148" s="293" t="s">
        <v>401</v>
      </c>
      <c r="I148" s="303">
        <v>5000</v>
      </c>
      <c r="J148" s="303"/>
      <c r="K148" s="303"/>
      <c r="L148" s="318">
        <f t="shared" si="32"/>
        <v>5000</v>
      </c>
    </row>
    <row r="149" spans="1:12" ht="12.75">
      <c r="A149" s="317" t="s">
        <v>198</v>
      </c>
      <c r="B149" s="317" t="s">
        <v>402</v>
      </c>
      <c r="C149" s="303"/>
      <c r="D149" s="303"/>
      <c r="E149" s="303"/>
      <c r="F149" s="303"/>
      <c r="G149" s="311"/>
      <c r="H149" s="293"/>
      <c r="I149" s="303"/>
      <c r="J149" s="303"/>
      <c r="K149" s="303"/>
      <c r="L149" s="303"/>
    </row>
    <row r="150" spans="1:12" ht="12.75">
      <c r="A150" s="311"/>
      <c r="B150" s="301" t="s">
        <v>403</v>
      </c>
      <c r="C150" s="304">
        <f>SUM(C135+C136+C141+C145+C146+C148+C149)</f>
        <v>582157</v>
      </c>
      <c r="D150" s="304">
        <f>SUM(D135+D136+D141+D145+D146+D148+D149)</f>
        <v>-15467</v>
      </c>
      <c r="E150" s="304">
        <f>SUM(E135+E136+E141+E145+E146+E148+E149)</f>
        <v>0</v>
      </c>
      <c r="F150" s="304">
        <f>SUM(F135+F136+F141+F145+F146+F148+F149)</f>
        <v>566690</v>
      </c>
      <c r="G150" s="311"/>
      <c r="H150" s="301" t="s">
        <v>404</v>
      </c>
      <c r="I150" s="304">
        <f>SUM(I134)</f>
        <v>592081</v>
      </c>
      <c r="J150" s="304">
        <f>SUM(J134)</f>
        <v>0</v>
      </c>
      <c r="K150" s="304">
        <f>SUM(K134)</f>
        <v>0</v>
      </c>
      <c r="L150" s="304">
        <f>SUM(I150:K150)</f>
        <v>592081</v>
      </c>
    </row>
    <row r="151" spans="1:12" ht="12.75">
      <c r="A151" s="311"/>
      <c r="B151" s="327" t="s">
        <v>405</v>
      </c>
      <c r="C151" s="328">
        <f>I152-C150</f>
        <v>9924</v>
      </c>
      <c r="D151" s="328">
        <f>J152-D150</f>
        <v>15467</v>
      </c>
      <c r="E151" s="328">
        <f>K152-E150</f>
        <v>0</v>
      </c>
      <c r="F151" s="328">
        <f>SUM(C151:E151)</f>
        <v>25391</v>
      </c>
      <c r="G151" s="311"/>
      <c r="H151" s="293" t="s">
        <v>406</v>
      </c>
      <c r="I151" s="328"/>
      <c r="J151" s="328"/>
      <c r="K151" s="328"/>
      <c r="L151" s="303"/>
    </row>
    <row r="152" spans="1:12" ht="12.75">
      <c r="A152" s="311"/>
      <c r="B152" s="317" t="s">
        <v>407</v>
      </c>
      <c r="C152" s="303"/>
      <c r="D152" s="303"/>
      <c r="E152" s="303"/>
      <c r="F152" s="303"/>
      <c r="G152" s="311"/>
      <c r="H152" s="301" t="s">
        <v>408</v>
      </c>
      <c r="I152" s="304">
        <f>SUM(I135+I136+I137+I138+I145+I146)</f>
        <v>592081</v>
      </c>
      <c r="J152" s="304">
        <f>SUM(J135+J136+J137+J138+J145+J146)</f>
        <v>0</v>
      </c>
      <c r="K152" s="304">
        <f>SUM(K135+K136+K137+K138+K145+K146)</f>
        <v>0</v>
      </c>
      <c r="L152" s="304">
        <f>SUM(L135+L136+L137+L138+L145+L146)</f>
        <v>592081</v>
      </c>
    </row>
    <row r="153" spans="1:12" ht="12.75">
      <c r="A153" s="317" t="s">
        <v>409</v>
      </c>
      <c r="B153" s="317" t="s">
        <v>410</v>
      </c>
      <c r="C153" s="303">
        <v>22451</v>
      </c>
      <c r="D153" s="303"/>
      <c r="E153" s="303"/>
      <c r="F153" s="303">
        <f>SUM(C153:E153)</f>
        <v>22451</v>
      </c>
      <c r="G153" s="311"/>
      <c r="H153" s="327" t="s">
        <v>411</v>
      </c>
      <c r="I153" s="303"/>
      <c r="J153" s="303"/>
      <c r="K153" s="303"/>
      <c r="L153" s="303"/>
    </row>
    <row r="154" spans="1:12" ht="12.75">
      <c r="A154" s="317" t="s">
        <v>412</v>
      </c>
      <c r="B154" s="317" t="s">
        <v>453</v>
      </c>
      <c r="C154" s="303">
        <v>10000</v>
      </c>
      <c r="D154" s="303"/>
      <c r="E154" s="303"/>
      <c r="F154" s="303">
        <f aca="true" t="shared" si="34" ref="F154:F165">SUM(C154:E154)</f>
        <v>10000</v>
      </c>
      <c r="G154" s="311"/>
      <c r="H154" s="317" t="s">
        <v>94</v>
      </c>
      <c r="I154" s="303"/>
      <c r="J154" s="303"/>
      <c r="K154" s="303"/>
      <c r="L154" s="303"/>
    </row>
    <row r="155" spans="1:12" ht="12.75">
      <c r="A155" s="317" t="s">
        <v>414</v>
      </c>
      <c r="B155" s="317" t="s">
        <v>415</v>
      </c>
      <c r="C155" s="303">
        <v>14011</v>
      </c>
      <c r="D155" s="303">
        <v>10394</v>
      </c>
      <c r="E155" s="303"/>
      <c r="F155" s="303">
        <f t="shared" si="34"/>
        <v>24405</v>
      </c>
      <c r="G155" s="317" t="s">
        <v>194</v>
      </c>
      <c r="H155" s="317" t="s">
        <v>416</v>
      </c>
      <c r="I155" s="303">
        <v>26935</v>
      </c>
      <c r="J155" s="303"/>
      <c r="K155" s="303"/>
      <c r="L155" s="303">
        <f>SUM(I155:K155)</f>
        <v>26935</v>
      </c>
    </row>
    <row r="156" spans="1:12" ht="12.75">
      <c r="A156" s="317" t="s">
        <v>417</v>
      </c>
      <c r="B156" s="317" t="s">
        <v>193</v>
      </c>
      <c r="C156" s="303">
        <v>6147</v>
      </c>
      <c r="D156" s="303"/>
      <c r="E156" s="303"/>
      <c r="F156" s="303">
        <f t="shared" si="34"/>
        <v>6147</v>
      </c>
      <c r="G156" s="317" t="s">
        <v>195</v>
      </c>
      <c r="H156" s="317" t="s">
        <v>377</v>
      </c>
      <c r="I156" s="303">
        <v>0</v>
      </c>
      <c r="J156" s="303">
        <v>0</v>
      </c>
      <c r="K156" s="303">
        <v>0</v>
      </c>
      <c r="L156" s="303">
        <f aca="true" t="shared" si="35" ref="L156:L165">SUM(I156:K156)</f>
        <v>0</v>
      </c>
    </row>
    <row r="157" spans="1:12" ht="12.75">
      <c r="A157" s="317" t="s">
        <v>194</v>
      </c>
      <c r="B157" s="317" t="s">
        <v>418</v>
      </c>
      <c r="C157" s="303">
        <f>SUM(C158:C160)</f>
        <v>4000</v>
      </c>
      <c r="D157" s="303">
        <f>SUM(D158:D160)</f>
        <v>5073</v>
      </c>
      <c r="E157" s="303">
        <f>SUM(E158:E160)</f>
        <v>0</v>
      </c>
      <c r="F157" s="303">
        <f t="shared" si="34"/>
        <v>9073</v>
      </c>
      <c r="G157" s="311" t="s">
        <v>100</v>
      </c>
      <c r="H157" s="293" t="s">
        <v>96</v>
      </c>
      <c r="I157" s="303"/>
      <c r="J157" s="303"/>
      <c r="K157" s="303"/>
      <c r="L157" s="303">
        <f t="shared" si="35"/>
        <v>0</v>
      </c>
    </row>
    <row r="158" spans="1:12" ht="12.75">
      <c r="A158" s="311" t="s">
        <v>100</v>
      </c>
      <c r="B158" s="330" t="s">
        <v>419</v>
      </c>
      <c r="C158" s="303"/>
      <c r="D158" s="303"/>
      <c r="E158" s="303"/>
      <c r="F158" s="303">
        <f t="shared" si="34"/>
        <v>0</v>
      </c>
      <c r="G158" s="311" t="s">
        <v>101</v>
      </c>
      <c r="H158" s="293" t="s">
        <v>420</v>
      </c>
      <c r="I158" s="303"/>
      <c r="J158" s="303"/>
      <c r="K158" s="303"/>
      <c r="L158" s="303">
        <f t="shared" si="35"/>
        <v>0</v>
      </c>
    </row>
    <row r="159" spans="1:12" ht="12.75">
      <c r="A159" s="311" t="s">
        <v>101</v>
      </c>
      <c r="B159" s="330" t="s">
        <v>421</v>
      </c>
      <c r="C159" s="303">
        <v>4000</v>
      </c>
      <c r="D159" s="303">
        <v>5073</v>
      </c>
      <c r="E159" s="303"/>
      <c r="F159" s="303">
        <f t="shared" si="34"/>
        <v>9073</v>
      </c>
      <c r="G159" s="317" t="s">
        <v>196</v>
      </c>
      <c r="H159" s="317" t="s">
        <v>422</v>
      </c>
      <c r="I159" s="303">
        <f>SUM(I160:I162)</f>
        <v>190047</v>
      </c>
      <c r="J159" s="303">
        <f>SUM(J160:J162)</f>
        <v>0</v>
      </c>
      <c r="K159" s="303">
        <f>SUM(K160:K162)</f>
        <v>982775</v>
      </c>
      <c r="L159" s="303">
        <f t="shared" si="35"/>
        <v>1172822</v>
      </c>
    </row>
    <row r="160" spans="1:12" ht="12.75">
      <c r="A160" s="311" t="s">
        <v>102</v>
      </c>
      <c r="B160" s="330" t="s">
        <v>161</v>
      </c>
      <c r="C160" s="303"/>
      <c r="D160" s="303"/>
      <c r="E160" s="303"/>
      <c r="F160" s="303">
        <f t="shared" si="34"/>
        <v>0</v>
      </c>
      <c r="G160" s="311" t="s">
        <v>100</v>
      </c>
      <c r="H160" s="330" t="s">
        <v>117</v>
      </c>
      <c r="I160" s="303">
        <v>15875</v>
      </c>
      <c r="J160" s="303"/>
      <c r="K160" s="303"/>
      <c r="L160" s="303">
        <f t="shared" si="35"/>
        <v>15875</v>
      </c>
    </row>
    <row r="161" spans="1:12" ht="12.75">
      <c r="A161" s="317" t="s">
        <v>423</v>
      </c>
      <c r="B161" s="317" t="s">
        <v>424</v>
      </c>
      <c r="C161" s="303">
        <v>52835</v>
      </c>
      <c r="D161" s="303"/>
      <c r="E161" s="303">
        <v>982775</v>
      </c>
      <c r="F161" s="303">
        <f t="shared" si="34"/>
        <v>1035610</v>
      </c>
      <c r="G161" s="311" t="s">
        <v>101</v>
      </c>
      <c r="H161" s="330" t="s">
        <v>97</v>
      </c>
      <c r="I161" s="303">
        <v>174172</v>
      </c>
      <c r="J161" s="303"/>
      <c r="K161" s="303">
        <v>982775</v>
      </c>
      <c r="L161" s="303">
        <f t="shared" si="35"/>
        <v>1156947</v>
      </c>
    </row>
    <row r="162" spans="1:12" ht="12.75">
      <c r="A162" s="317" t="s">
        <v>425</v>
      </c>
      <c r="B162" s="317" t="s">
        <v>426</v>
      </c>
      <c r="C162" s="303">
        <v>1073</v>
      </c>
      <c r="D162" s="303"/>
      <c r="E162" s="303"/>
      <c r="F162" s="303">
        <f t="shared" si="34"/>
        <v>1073</v>
      </c>
      <c r="G162" s="311" t="s">
        <v>102</v>
      </c>
      <c r="H162" s="293" t="s">
        <v>163</v>
      </c>
      <c r="I162" s="303"/>
      <c r="J162" s="303"/>
      <c r="K162" s="303"/>
      <c r="L162" s="303">
        <f t="shared" si="35"/>
        <v>0</v>
      </c>
    </row>
    <row r="163" spans="1:12" ht="12.75">
      <c r="A163" s="317" t="s">
        <v>196</v>
      </c>
      <c r="B163" s="317" t="s">
        <v>427</v>
      </c>
      <c r="C163" s="303">
        <v>0</v>
      </c>
      <c r="D163" s="303"/>
      <c r="E163" s="303"/>
      <c r="F163" s="303">
        <f t="shared" si="34"/>
        <v>0</v>
      </c>
      <c r="G163" s="317" t="s">
        <v>197</v>
      </c>
      <c r="H163" s="317" t="s">
        <v>428</v>
      </c>
      <c r="I163" s="303">
        <v>6116</v>
      </c>
      <c r="J163" s="303"/>
      <c r="K163" s="303"/>
      <c r="L163" s="303">
        <f t="shared" si="35"/>
        <v>6116</v>
      </c>
    </row>
    <row r="164" spans="1:12" ht="12.75">
      <c r="A164" s="317" t="s">
        <v>197</v>
      </c>
      <c r="B164" s="317" t="s">
        <v>428</v>
      </c>
      <c r="C164" s="303">
        <v>0</v>
      </c>
      <c r="D164" s="303"/>
      <c r="E164" s="303"/>
      <c r="F164" s="303">
        <f t="shared" si="34"/>
        <v>0</v>
      </c>
      <c r="G164" s="317" t="s">
        <v>198</v>
      </c>
      <c r="H164" s="317" t="s">
        <v>396</v>
      </c>
      <c r="I164" s="320">
        <f>SUM(I165)</f>
        <v>0</v>
      </c>
      <c r="J164" s="320">
        <f>SUM(J165)</f>
        <v>15467</v>
      </c>
      <c r="K164" s="320">
        <f>SUM(K165)</f>
        <v>0</v>
      </c>
      <c r="L164" s="320">
        <f t="shared" si="35"/>
        <v>15467</v>
      </c>
    </row>
    <row r="165" spans="1:12" ht="12.75">
      <c r="A165" s="317" t="s">
        <v>198</v>
      </c>
      <c r="B165" s="317" t="s">
        <v>402</v>
      </c>
      <c r="C165" s="303">
        <v>112581</v>
      </c>
      <c r="D165" s="303"/>
      <c r="E165" s="303"/>
      <c r="F165" s="303">
        <f t="shared" si="34"/>
        <v>112581</v>
      </c>
      <c r="G165" s="311" t="s">
        <v>100</v>
      </c>
      <c r="H165" s="293" t="s">
        <v>398</v>
      </c>
      <c r="I165" s="303"/>
      <c r="J165" s="303">
        <f>5073+10394</f>
        <v>15467</v>
      </c>
      <c r="K165" s="303"/>
      <c r="L165" s="303">
        <f t="shared" si="35"/>
        <v>15467</v>
      </c>
    </row>
    <row r="166" spans="1:12" ht="12.75">
      <c r="A166" s="311"/>
      <c r="B166" s="301" t="s">
        <v>358</v>
      </c>
      <c r="C166" s="304">
        <f>SUM(C153+C154+C155+C156+C157+C161+C162+C163+C164+C165)</f>
        <v>223098</v>
      </c>
      <c r="D166" s="304">
        <f>SUM(D153+D154+D155+D156+D157+D161+D162+D163+D164+D165)</f>
        <v>15467</v>
      </c>
      <c r="E166" s="304">
        <f>SUM(E153+E154+E155+E156+E157+E161+E162+E163+E164+E165)</f>
        <v>982775</v>
      </c>
      <c r="F166" s="304">
        <f>SUM(F153+F154+F155+F156+F157+F161+F162+F163+F164+F165)</f>
        <v>1221340</v>
      </c>
      <c r="G166" s="311" t="s">
        <v>441</v>
      </c>
      <c r="H166" s="301" t="s">
        <v>358</v>
      </c>
      <c r="I166" s="304">
        <f>SUM(I155+I156+I159+I163+I164)</f>
        <v>223098</v>
      </c>
      <c r="J166" s="304">
        <f>SUM(J155+J156+J159+J163+J164)</f>
        <v>15467</v>
      </c>
      <c r="K166" s="304">
        <f>SUM(K155+K156+K159+K163+K164)</f>
        <v>982775</v>
      </c>
      <c r="L166" s="304">
        <f>SUM(L155+L156+L159+L163+L164)</f>
        <v>1221340</v>
      </c>
    </row>
    <row r="167" spans="1:12" ht="12.75">
      <c r="A167" s="311"/>
      <c r="B167" s="327" t="s">
        <v>433</v>
      </c>
      <c r="C167" s="328">
        <f>I166-C166</f>
        <v>0</v>
      </c>
      <c r="D167" s="328"/>
      <c r="E167" s="328"/>
      <c r="F167" s="328"/>
      <c r="G167" s="311" t="s">
        <v>442</v>
      </c>
      <c r="H167" s="293" t="s">
        <v>434</v>
      </c>
      <c r="I167" s="303">
        <f>C166-I166</f>
        <v>0</v>
      </c>
      <c r="J167" s="303">
        <f>D166-J166</f>
        <v>0</v>
      </c>
      <c r="K167" s="303">
        <f>E166-K166</f>
        <v>0</v>
      </c>
      <c r="L167" s="303">
        <f>F166-L166</f>
        <v>0</v>
      </c>
    </row>
    <row r="168" spans="1:12" ht="13.5">
      <c r="A168" s="311"/>
      <c r="B168" s="332" t="s">
        <v>435</v>
      </c>
      <c r="C168" s="333">
        <f>SUM(C167+C151)</f>
        <v>9924</v>
      </c>
      <c r="D168" s="333">
        <f>SUM(D167+D151)</f>
        <v>15467</v>
      </c>
      <c r="E168" s="333">
        <f>SUM(E167+E151)</f>
        <v>0</v>
      </c>
      <c r="F168" s="333">
        <f>SUM(F167+F151)</f>
        <v>25391</v>
      </c>
      <c r="G168" s="311" t="s">
        <v>443</v>
      </c>
      <c r="H168" s="332" t="s">
        <v>436</v>
      </c>
      <c r="I168" s="320">
        <f>SUM(I153,I167)</f>
        <v>0</v>
      </c>
      <c r="J168" s="320">
        <f>SUM(J153,J167)</f>
        <v>0</v>
      </c>
      <c r="K168" s="320">
        <f>SUM(K153,K167)</f>
        <v>0</v>
      </c>
      <c r="L168" s="320">
        <f>SUM(L153,L167)</f>
        <v>0</v>
      </c>
    </row>
    <row r="169" spans="1:12" ht="12.75">
      <c r="A169" s="311"/>
      <c r="B169" s="301" t="s">
        <v>449</v>
      </c>
      <c r="C169" s="304">
        <f>SUM(C166+C150+C168)</f>
        <v>815179</v>
      </c>
      <c r="D169" s="304">
        <f>SUM(D166+D150+D168)</f>
        <v>15467</v>
      </c>
      <c r="E169" s="304">
        <f>SUM(E166+E150+E168)</f>
        <v>982775</v>
      </c>
      <c r="F169" s="304">
        <f>SUM(F166+F150+F168)</f>
        <v>1813421</v>
      </c>
      <c r="G169" s="311" t="s">
        <v>445</v>
      </c>
      <c r="H169" s="301" t="s">
        <v>450</v>
      </c>
      <c r="I169" s="304">
        <f>SUM(I152,I166,I168)</f>
        <v>815179</v>
      </c>
      <c r="J169" s="304">
        <f>SUM(J152,J166,J168)</f>
        <v>15467</v>
      </c>
      <c r="K169" s="304">
        <f>SUM(K152,K166,K168)</f>
        <v>982775</v>
      </c>
      <c r="L169" s="304">
        <f>SUM(L152,L166,L168)</f>
        <v>1813421</v>
      </c>
    </row>
    <row r="170" spans="1:12" ht="12.75" customHeight="1">
      <c r="A170" s="564" t="s">
        <v>454</v>
      </c>
      <c r="B170" s="564"/>
      <c r="C170" s="564"/>
      <c r="D170" s="564"/>
      <c r="E170" s="564"/>
      <c r="F170" s="564"/>
      <c r="G170" s="564"/>
      <c r="H170" s="564"/>
      <c r="I170" s="564"/>
      <c r="J170" s="564"/>
      <c r="K170" s="564"/>
      <c r="L170" s="564"/>
    </row>
    <row r="171" spans="1:12" ht="12.75" customHeight="1">
      <c r="A171" s="564"/>
      <c r="B171" s="564"/>
      <c r="C171" s="564"/>
      <c r="D171" s="564"/>
      <c r="E171" s="564"/>
      <c r="F171" s="564"/>
      <c r="G171" s="564"/>
      <c r="H171" s="564"/>
      <c r="I171" s="564"/>
      <c r="J171" s="564"/>
      <c r="K171" s="564"/>
      <c r="L171" s="564"/>
    </row>
    <row r="172" spans="1:12" ht="15.75">
      <c r="A172" s="315" t="s">
        <v>447</v>
      </c>
      <c r="B172" s="58"/>
      <c r="C172" s="316"/>
      <c r="D172" s="316"/>
      <c r="E172" s="316"/>
      <c r="F172" s="316"/>
      <c r="G172" s="58"/>
      <c r="H172" s="58"/>
      <c r="I172" s="565" t="s">
        <v>364</v>
      </c>
      <c r="J172" s="566"/>
      <c r="K172" s="566"/>
      <c r="L172" s="566"/>
    </row>
    <row r="173" spans="1:12" ht="12.75" customHeight="1">
      <c r="A173" s="567" t="s">
        <v>365</v>
      </c>
      <c r="B173" s="569" t="s">
        <v>142</v>
      </c>
      <c r="C173" s="571" t="s">
        <v>155</v>
      </c>
      <c r="D173" s="571" t="s">
        <v>52</v>
      </c>
      <c r="E173" s="571" t="s">
        <v>53</v>
      </c>
      <c r="F173" s="571" t="s">
        <v>54</v>
      </c>
      <c r="G173" s="567" t="s">
        <v>365</v>
      </c>
      <c r="H173" s="569" t="s">
        <v>369</v>
      </c>
      <c r="I173" s="571" t="s">
        <v>155</v>
      </c>
      <c r="J173" s="571" t="s">
        <v>52</v>
      </c>
      <c r="K173" s="571" t="s">
        <v>53</v>
      </c>
      <c r="L173" s="571" t="s">
        <v>54</v>
      </c>
    </row>
    <row r="174" spans="1:12" ht="12.75" customHeight="1">
      <c r="A174" s="567"/>
      <c r="B174" s="569"/>
      <c r="C174" s="572"/>
      <c r="D174" s="572"/>
      <c r="E174" s="572"/>
      <c r="F174" s="574"/>
      <c r="G174" s="567"/>
      <c r="H174" s="569"/>
      <c r="I174" s="572"/>
      <c r="J174" s="572"/>
      <c r="K174" s="572"/>
      <c r="L174" s="574"/>
    </row>
    <row r="175" spans="1:12" ht="12.75">
      <c r="A175" s="568"/>
      <c r="B175" s="570"/>
      <c r="C175" s="573"/>
      <c r="D175" s="573"/>
      <c r="E175" s="573"/>
      <c r="F175" s="575"/>
      <c r="G175" s="568"/>
      <c r="H175" s="570"/>
      <c r="I175" s="573"/>
      <c r="J175" s="573"/>
      <c r="K175" s="573"/>
      <c r="L175" s="575"/>
    </row>
    <row r="176" spans="1:12" ht="12.75">
      <c r="A176" s="317" t="s">
        <v>88</v>
      </c>
      <c r="B176" s="317" t="s">
        <v>185</v>
      </c>
      <c r="C176" s="318"/>
      <c r="D176" s="318"/>
      <c r="E176" s="318"/>
      <c r="F176" s="318"/>
      <c r="G176" s="317"/>
      <c r="H176" s="317" t="s">
        <v>91</v>
      </c>
      <c r="I176" s="318">
        <f>SUM(I177:I179,I180,I187,I188)</f>
        <v>274896</v>
      </c>
      <c r="J176" s="318">
        <f>SUM(J177:J179,J180,J187,J188)</f>
        <v>0</v>
      </c>
      <c r="K176" s="318">
        <f>SUM(K177:K179,K180,K187,K188)</f>
        <v>0</v>
      </c>
      <c r="L176" s="318">
        <f>SUM(L177:L179,L180,L187,L188)</f>
        <v>274896</v>
      </c>
    </row>
    <row r="177" spans="1:12" ht="12.75">
      <c r="A177" s="311" t="s">
        <v>100</v>
      </c>
      <c r="B177" s="296" t="s">
        <v>370</v>
      </c>
      <c r="C177" s="320">
        <v>11403</v>
      </c>
      <c r="D177" s="320"/>
      <c r="E177" s="320"/>
      <c r="F177" s="320">
        <f>SUM(C177:E177)</f>
        <v>11403</v>
      </c>
      <c r="G177" s="317" t="s">
        <v>88</v>
      </c>
      <c r="H177" s="317" t="s">
        <v>92</v>
      </c>
      <c r="I177" s="303">
        <f>164207-450</f>
        <v>163757</v>
      </c>
      <c r="J177" s="303"/>
      <c r="K177" s="303"/>
      <c r="L177" s="303">
        <f>SUM(I177:K177)</f>
        <v>163757</v>
      </c>
    </row>
    <row r="178" spans="1:12" ht="12.75">
      <c r="A178" s="311" t="s">
        <v>101</v>
      </c>
      <c r="B178" s="296" t="s">
        <v>371</v>
      </c>
      <c r="C178" s="320">
        <v>0</v>
      </c>
      <c r="D178" s="320"/>
      <c r="E178" s="320"/>
      <c r="F178" s="320">
        <f aca="true" t="shared" si="36" ref="F178:F187">SUM(C178:E178)</f>
        <v>0</v>
      </c>
      <c r="G178" s="317" t="s">
        <v>372</v>
      </c>
      <c r="H178" s="317" t="s">
        <v>93</v>
      </c>
      <c r="I178" s="303">
        <v>52905</v>
      </c>
      <c r="J178" s="303"/>
      <c r="K178" s="303"/>
      <c r="L178" s="303">
        <f aca="true" t="shared" si="37" ref="L178:L185">SUM(I178:K178)</f>
        <v>52905</v>
      </c>
    </row>
    <row r="179" spans="1:12" ht="12.75">
      <c r="A179" s="323" t="s">
        <v>373</v>
      </c>
      <c r="B179" s="293" t="s">
        <v>374</v>
      </c>
      <c r="C179" s="303">
        <v>0</v>
      </c>
      <c r="D179" s="303"/>
      <c r="E179" s="303"/>
      <c r="F179" s="320">
        <f t="shared" si="36"/>
        <v>0</v>
      </c>
      <c r="G179" s="317" t="s">
        <v>194</v>
      </c>
      <c r="H179" s="317" t="s">
        <v>269</v>
      </c>
      <c r="I179" s="303">
        <v>42086</v>
      </c>
      <c r="J179" s="303"/>
      <c r="K179" s="303"/>
      <c r="L179" s="303">
        <f t="shared" si="37"/>
        <v>42086</v>
      </c>
    </row>
    <row r="180" spans="1:12" ht="12.75">
      <c r="A180" s="323" t="s">
        <v>375</v>
      </c>
      <c r="B180" s="293" t="s">
        <v>376</v>
      </c>
      <c r="C180" s="303"/>
      <c r="D180" s="303"/>
      <c r="E180" s="303"/>
      <c r="F180" s="320">
        <f t="shared" si="36"/>
        <v>0</v>
      </c>
      <c r="G180" s="317" t="s">
        <v>195</v>
      </c>
      <c r="H180" s="317" t="s">
        <v>377</v>
      </c>
      <c r="I180" s="303">
        <f>SUM(I181:I185)</f>
        <v>16148</v>
      </c>
      <c r="J180" s="303"/>
      <c r="K180" s="303"/>
      <c r="L180" s="303">
        <f t="shared" si="37"/>
        <v>16148</v>
      </c>
    </row>
    <row r="181" spans="1:12" ht="12.75">
      <c r="A181" s="323" t="s">
        <v>378</v>
      </c>
      <c r="B181" s="293" t="s">
        <v>379</v>
      </c>
      <c r="C181" s="303"/>
      <c r="D181" s="303"/>
      <c r="E181" s="303"/>
      <c r="F181" s="320">
        <f t="shared" si="36"/>
        <v>0</v>
      </c>
      <c r="G181" s="311" t="s">
        <v>100</v>
      </c>
      <c r="H181" s="293" t="s">
        <v>96</v>
      </c>
      <c r="I181" s="303">
        <v>9840</v>
      </c>
      <c r="J181" s="303"/>
      <c r="K181" s="303"/>
      <c r="L181" s="303">
        <f t="shared" si="37"/>
        <v>9840</v>
      </c>
    </row>
    <row r="182" spans="1:12" ht="12.75">
      <c r="A182" s="324" t="s">
        <v>192</v>
      </c>
      <c r="B182" s="317" t="s">
        <v>186</v>
      </c>
      <c r="C182" s="303"/>
      <c r="D182" s="303"/>
      <c r="E182" s="303"/>
      <c r="F182" s="320">
        <f t="shared" si="36"/>
        <v>0</v>
      </c>
      <c r="G182" s="311" t="s">
        <v>101</v>
      </c>
      <c r="H182" s="293" t="s">
        <v>380</v>
      </c>
      <c r="I182" s="303"/>
      <c r="J182" s="303"/>
      <c r="K182" s="303"/>
      <c r="L182" s="303">
        <f t="shared" si="37"/>
        <v>0</v>
      </c>
    </row>
    <row r="183" spans="1:12" ht="12.75">
      <c r="A183" s="311" t="s">
        <v>100</v>
      </c>
      <c r="B183" s="296" t="s">
        <v>381</v>
      </c>
      <c r="C183" s="320">
        <f>SUM(C184:C186)</f>
        <v>195751</v>
      </c>
      <c r="D183" s="320">
        <f>SUM(D184:D186)</f>
        <v>0</v>
      </c>
      <c r="E183" s="320">
        <f>SUM(E184:E186)</f>
        <v>0</v>
      </c>
      <c r="F183" s="320">
        <f t="shared" si="36"/>
        <v>195751</v>
      </c>
      <c r="G183" s="311" t="s">
        <v>102</v>
      </c>
      <c r="H183" s="293" t="s">
        <v>382</v>
      </c>
      <c r="I183" s="303">
        <v>0</v>
      </c>
      <c r="J183" s="303"/>
      <c r="K183" s="303"/>
      <c r="L183" s="303">
        <f t="shared" si="37"/>
        <v>0</v>
      </c>
    </row>
    <row r="184" spans="1:12" ht="12.75">
      <c r="A184" s="311" t="s">
        <v>383</v>
      </c>
      <c r="B184" s="293" t="s">
        <v>384</v>
      </c>
      <c r="C184" s="303">
        <v>194681</v>
      </c>
      <c r="D184" s="303"/>
      <c r="E184" s="303"/>
      <c r="F184" s="320">
        <f t="shared" si="36"/>
        <v>194681</v>
      </c>
      <c r="G184" s="311" t="s">
        <v>103</v>
      </c>
      <c r="H184" s="293" t="s">
        <v>385</v>
      </c>
      <c r="I184" s="303">
        <v>252</v>
      </c>
      <c r="J184" s="303"/>
      <c r="K184" s="303"/>
      <c r="L184" s="303">
        <f t="shared" si="37"/>
        <v>252</v>
      </c>
    </row>
    <row r="185" spans="1:12" ht="12.75">
      <c r="A185" s="311" t="s">
        <v>386</v>
      </c>
      <c r="B185" s="293" t="s">
        <v>387</v>
      </c>
      <c r="C185" s="303">
        <v>0</v>
      </c>
      <c r="D185" s="303"/>
      <c r="E185" s="303"/>
      <c r="F185" s="320">
        <f t="shared" si="36"/>
        <v>0</v>
      </c>
      <c r="G185" s="311" t="s">
        <v>104</v>
      </c>
      <c r="H185" s="293" t="s">
        <v>388</v>
      </c>
      <c r="I185" s="303">
        <v>6056</v>
      </c>
      <c r="J185" s="303"/>
      <c r="K185" s="303"/>
      <c r="L185" s="303">
        <f t="shared" si="37"/>
        <v>6056</v>
      </c>
    </row>
    <row r="186" spans="1:12" ht="12.75">
      <c r="A186" s="311" t="s">
        <v>389</v>
      </c>
      <c r="B186" s="293" t="s">
        <v>390</v>
      </c>
      <c r="C186" s="303">
        <v>1070</v>
      </c>
      <c r="D186" s="303"/>
      <c r="E186" s="303"/>
      <c r="F186" s="320">
        <f t="shared" si="36"/>
        <v>1070</v>
      </c>
      <c r="G186" s="311"/>
      <c r="H186" s="293"/>
      <c r="I186" s="303"/>
      <c r="J186" s="303"/>
      <c r="K186" s="303"/>
      <c r="L186" s="303"/>
    </row>
    <row r="187" spans="1:12" ht="12.75">
      <c r="A187" s="317" t="s">
        <v>391</v>
      </c>
      <c r="B187" s="317" t="s">
        <v>392</v>
      </c>
      <c r="C187" s="303">
        <v>7054</v>
      </c>
      <c r="D187" s="303"/>
      <c r="E187" s="303"/>
      <c r="F187" s="320">
        <f t="shared" si="36"/>
        <v>7054</v>
      </c>
      <c r="G187" s="317" t="s">
        <v>197</v>
      </c>
      <c r="H187" s="317" t="s">
        <v>393</v>
      </c>
      <c r="I187" s="303"/>
      <c r="J187" s="303"/>
      <c r="K187" s="303"/>
      <c r="L187" s="303"/>
    </row>
    <row r="188" spans="1:12" ht="12.75">
      <c r="A188" s="317" t="s">
        <v>394</v>
      </c>
      <c r="B188" s="317" t="s">
        <v>395</v>
      </c>
      <c r="C188" s="303"/>
      <c r="D188" s="303"/>
      <c r="E188" s="303"/>
      <c r="F188" s="303"/>
      <c r="G188" s="317" t="s">
        <v>198</v>
      </c>
      <c r="H188" s="317" t="s">
        <v>396</v>
      </c>
      <c r="I188" s="303"/>
      <c r="J188" s="303"/>
      <c r="K188" s="303"/>
      <c r="L188" s="303"/>
    </row>
    <row r="189" spans="1:12" ht="12.75">
      <c r="A189" s="311"/>
      <c r="B189" s="293" t="s">
        <v>397</v>
      </c>
      <c r="C189" s="303"/>
      <c r="D189" s="303"/>
      <c r="E189" s="303"/>
      <c r="F189" s="303"/>
      <c r="G189" s="311" t="s">
        <v>100</v>
      </c>
      <c r="H189" s="293" t="s">
        <v>398</v>
      </c>
      <c r="I189" s="303"/>
      <c r="J189" s="303"/>
      <c r="K189" s="303"/>
      <c r="L189" s="303"/>
    </row>
    <row r="190" spans="1:12" ht="12.75">
      <c r="A190" s="317" t="s">
        <v>399</v>
      </c>
      <c r="B190" s="317" t="s">
        <v>400</v>
      </c>
      <c r="C190" s="320">
        <v>0</v>
      </c>
      <c r="D190" s="320">
        <v>0</v>
      </c>
      <c r="E190" s="320">
        <v>0</v>
      </c>
      <c r="F190" s="320"/>
      <c r="G190" s="311" t="s">
        <v>101</v>
      </c>
      <c r="H190" s="293" t="s">
        <v>401</v>
      </c>
      <c r="I190" s="303"/>
      <c r="J190" s="303"/>
      <c r="K190" s="303"/>
      <c r="L190" s="303"/>
    </row>
    <row r="191" spans="1:12" ht="12.75">
      <c r="A191" s="317" t="s">
        <v>198</v>
      </c>
      <c r="B191" s="317" t="s">
        <v>402</v>
      </c>
      <c r="C191" s="303"/>
      <c r="D191" s="303"/>
      <c r="E191" s="303"/>
      <c r="F191" s="303"/>
      <c r="G191" s="311"/>
      <c r="H191" s="293"/>
      <c r="I191" s="303"/>
      <c r="J191" s="303"/>
      <c r="K191" s="303"/>
      <c r="L191" s="303"/>
    </row>
    <row r="192" spans="1:12" ht="12.75">
      <c r="A192" s="311"/>
      <c r="B192" s="301" t="s">
        <v>403</v>
      </c>
      <c r="C192" s="304">
        <f>SUM(C177+C178+C183+C187+C188+C190+C191)</f>
        <v>214208</v>
      </c>
      <c r="D192" s="304">
        <f>SUM(D177+D178+D183+D187+D188+D190+D191)</f>
        <v>0</v>
      </c>
      <c r="E192" s="304">
        <f>SUM(E177+E178+E183+E187+E188+E190+E191)</f>
        <v>0</v>
      </c>
      <c r="F192" s="304">
        <f>SUM(F177+F178+F183+F187+F188+F190+F191)</f>
        <v>214208</v>
      </c>
      <c r="G192" s="311"/>
      <c r="H192" s="301" t="s">
        <v>404</v>
      </c>
      <c r="I192" s="304">
        <f>SUM(I177+I178+I179+I180)</f>
        <v>274896</v>
      </c>
      <c r="J192" s="304">
        <f>SUM(J177+J178+J179+J180)</f>
        <v>0</v>
      </c>
      <c r="K192" s="304">
        <f>SUM(K177+K178+K179+K180)</f>
        <v>0</v>
      </c>
      <c r="L192" s="304">
        <f>SUM(I192:K192)</f>
        <v>274896</v>
      </c>
    </row>
    <row r="193" spans="1:12" ht="12.75">
      <c r="A193" s="311"/>
      <c r="B193" s="327" t="s">
        <v>405</v>
      </c>
      <c r="C193" s="328">
        <f>I194-C192</f>
        <v>92078</v>
      </c>
      <c r="D193" s="328">
        <f>J194-D192</f>
        <v>0</v>
      </c>
      <c r="E193" s="328">
        <f>K194-E192</f>
        <v>0</v>
      </c>
      <c r="F193" s="328">
        <f>L194-F192</f>
        <v>92078</v>
      </c>
      <c r="G193" s="311"/>
      <c r="H193" s="293" t="s">
        <v>406</v>
      </c>
      <c r="I193" s="328">
        <f>32055-665</f>
        <v>31390</v>
      </c>
      <c r="J193" s="328"/>
      <c r="K193" s="328"/>
      <c r="L193" s="303">
        <f>SUM(I193:K193)</f>
        <v>31390</v>
      </c>
    </row>
    <row r="194" spans="1:12" ht="12.75">
      <c r="A194" s="311"/>
      <c r="B194" s="317" t="s">
        <v>407</v>
      </c>
      <c r="C194" s="303"/>
      <c r="D194" s="303"/>
      <c r="E194" s="303"/>
      <c r="F194" s="303"/>
      <c r="G194" s="311"/>
      <c r="H194" s="301" t="s">
        <v>408</v>
      </c>
      <c r="I194" s="304">
        <f>SUM(I192:I193)</f>
        <v>306286</v>
      </c>
      <c r="J194" s="304">
        <f>SUM(J192:J193)</f>
        <v>0</v>
      </c>
      <c r="K194" s="304">
        <f>SUM(K192:K193)</f>
        <v>0</v>
      </c>
      <c r="L194" s="304">
        <f>SUM(I194:K194)</f>
        <v>306286</v>
      </c>
    </row>
    <row r="195" spans="1:12" ht="12.75">
      <c r="A195" s="317" t="s">
        <v>409</v>
      </c>
      <c r="B195" s="317" t="s">
        <v>410</v>
      </c>
      <c r="C195" s="303"/>
      <c r="D195" s="303"/>
      <c r="E195" s="303"/>
      <c r="F195" s="303"/>
      <c r="G195" s="311"/>
      <c r="H195" s="327" t="s">
        <v>411</v>
      </c>
      <c r="I195" s="303"/>
      <c r="J195" s="303"/>
      <c r="K195" s="303"/>
      <c r="L195" s="303"/>
    </row>
    <row r="196" spans="1:12" ht="12.75">
      <c r="A196" s="317" t="s">
        <v>412</v>
      </c>
      <c r="B196" s="317" t="s">
        <v>413</v>
      </c>
      <c r="C196" s="303"/>
      <c r="D196" s="303"/>
      <c r="E196" s="303"/>
      <c r="F196" s="303"/>
      <c r="G196" s="311"/>
      <c r="H196" s="317" t="s">
        <v>94</v>
      </c>
      <c r="I196" s="303"/>
      <c r="J196" s="303"/>
      <c r="K196" s="303"/>
      <c r="L196" s="303"/>
    </row>
    <row r="197" spans="1:12" ht="12.75">
      <c r="A197" s="317" t="s">
        <v>414</v>
      </c>
      <c r="B197" s="317" t="s">
        <v>415</v>
      </c>
      <c r="C197" s="303"/>
      <c r="D197" s="303"/>
      <c r="E197" s="303"/>
      <c r="F197" s="303"/>
      <c r="G197" s="317" t="s">
        <v>194</v>
      </c>
      <c r="H197" s="317" t="s">
        <v>416</v>
      </c>
      <c r="I197" s="303"/>
      <c r="J197" s="303"/>
      <c r="K197" s="303"/>
      <c r="L197" s="303"/>
    </row>
    <row r="198" spans="1:12" ht="12.75">
      <c r="A198" s="317" t="s">
        <v>417</v>
      </c>
      <c r="B198" s="317" t="s">
        <v>193</v>
      </c>
      <c r="C198" s="303"/>
      <c r="D198" s="303"/>
      <c r="E198" s="303"/>
      <c r="F198" s="303"/>
      <c r="G198" s="317" t="s">
        <v>195</v>
      </c>
      <c r="H198" s="317" t="s">
        <v>377</v>
      </c>
      <c r="I198" s="303"/>
      <c r="J198" s="303"/>
      <c r="K198" s="303"/>
      <c r="L198" s="303"/>
    </row>
    <row r="199" spans="1:12" ht="12.75">
      <c r="A199" s="317" t="s">
        <v>194</v>
      </c>
      <c r="B199" s="317" t="s">
        <v>418</v>
      </c>
      <c r="C199" s="303"/>
      <c r="D199" s="303"/>
      <c r="E199" s="303"/>
      <c r="F199" s="303"/>
      <c r="G199" s="311" t="s">
        <v>100</v>
      </c>
      <c r="H199" s="293" t="s">
        <v>96</v>
      </c>
      <c r="I199" s="303"/>
      <c r="J199" s="303"/>
      <c r="K199" s="303"/>
      <c r="L199" s="303"/>
    </row>
    <row r="200" spans="1:12" ht="12.75">
      <c r="A200" s="311" t="s">
        <v>100</v>
      </c>
      <c r="B200" s="330" t="s">
        <v>419</v>
      </c>
      <c r="C200" s="303"/>
      <c r="D200" s="303"/>
      <c r="E200" s="303"/>
      <c r="F200" s="303"/>
      <c r="G200" s="311" t="s">
        <v>101</v>
      </c>
      <c r="H200" s="293" t="s">
        <v>420</v>
      </c>
      <c r="I200" s="303"/>
      <c r="J200" s="303"/>
      <c r="K200" s="303"/>
      <c r="L200" s="303"/>
    </row>
    <row r="201" spans="1:12" ht="12.75">
      <c r="A201" s="311" t="s">
        <v>101</v>
      </c>
      <c r="B201" s="330" t="s">
        <v>421</v>
      </c>
      <c r="C201" s="303"/>
      <c r="D201" s="303"/>
      <c r="E201" s="303"/>
      <c r="F201" s="303"/>
      <c r="G201" s="317" t="s">
        <v>196</v>
      </c>
      <c r="H201" s="317" t="s">
        <v>422</v>
      </c>
      <c r="I201" s="303"/>
      <c r="J201" s="303"/>
      <c r="K201" s="303"/>
      <c r="L201" s="303"/>
    </row>
    <row r="202" spans="1:12" ht="12.75">
      <c r="A202" s="311" t="s">
        <v>102</v>
      </c>
      <c r="B202" s="330" t="s">
        <v>161</v>
      </c>
      <c r="C202" s="303"/>
      <c r="D202" s="303"/>
      <c r="E202" s="303"/>
      <c r="F202" s="303"/>
      <c r="G202" s="311" t="s">
        <v>100</v>
      </c>
      <c r="H202" s="330" t="s">
        <v>117</v>
      </c>
      <c r="I202" s="303"/>
      <c r="J202" s="303"/>
      <c r="K202" s="303"/>
      <c r="L202" s="303"/>
    </row>
    <row r="203" spans="1:12" ht="12.75">
      <c r="A203" s="317" t="s">
        <v>423</v>
      </c>
      <c r="B203" s="317" t="s">
        <v>424</v>
      </c>
      <c r="C203" s="303"/>
      <c r="D203" s="303"/>
      <c r="E203" s="303"/>
      <c r="F203" s="303"/>
      <c r="G203" s="311" t="s">
        <v>101</v>
      </c>
      <c r="H203" s="330" t="s">
        <v>97</v>
      </c>
      <c r="I203" s="303"/>
      <c r="J203" s="303"/>
      <c r="K203" s="303"/>
      <c r="L203" s="303"/>
    </row>
    <row r="204" spans="1:12" ht="12.75">
      <c r="A204" s="317" t="s">
        <v>425</v>
      </c>
      <c r="B204" s="317" t="s">
        <v>426</v>
      </c>
      <c r="C204" s="303"/>
      <c r="D204" s="303"/>
      <c r="E204" s="303"/>
      <c r="F204" s="303"/>
      <c r="G204" s="311" t="s">
        <v>102</v>
      </c>
      <c r="H204" s="293" t="s">
        <v>163</v>
      </c>
      <c r="I204" s="303"/>
      <c r="J204" s="303"/>
      <c r="K204" s="303"/>
      <c r="L204" s="303"/>
    </row>
    <row r="205" spans="1:12" ht="12.75">
      <c r="A205" s="317" t="s">
        <v>196</v>
      </c>
      <c r="B205" s="317" t="s">
        <v>427</v>
      </c>
      <c r="C205" s="303">
        <v>0</v>
      </c>
      <c r="D205" s="303">
        <v>0</v>
      </c>
      <c r="E205" s="303">
        <v>0</v>
      </c>
      <c r="F205" s="303"/>
      <c r="G205" s="317" t="s">
        <v>197</v>
      </c>
      <c r="H205" s="317" t="s">
        <v>428</v>
      </c>
      <c r="I205" s="303"/>
      <c r="J205" s="303"/>
      <c r="K205" s="303"/>
      <c r="L205" s="303"/>
    </row>
    <row r="206" spans="1:12" ht="12.75">
      <c r="A206" s="317" t="s">
        <v>197</v>
      </c>
      <c r="B206" s="317" t="s">
        <v>428</v>
      </c>
      <c r="C206" s="303">
        <v>0</v>
      </c>
      <c r="D206" s="303">
        <v>0</v>
      </c>
      <c r="E206" s="303">
        <v>0</v>
      </c>
      <c r="F206" s="303"/>
      <c r="G206" s="317" t="s">
        <v>198</v>
      </c>
      <c r="H206" s="317" t="s">
        <v>396</v>
      </c>
      <c r="I206" s="303"/>
      <c r="J206" s="303"/>
      <c r="K206" s="303"/>
      <c r="L206" s="303"/>
    </row>
    <row r="207" spans="1:12" ht="12.75">
      <c r="A207" s="317" t="s">
        <v>198</v>
      </c>
      <c r="B207" s="317" t="s">
        <v>402</v>
      </c>
      <c r="C207" s="303">
        <v>0</v>
      </c>
      <c r="D207" s="303">
        <v>0</v>
      </c>
      <c r="E207" s="303">
        <v>0</v>
      </c>
      <c r="F207" s="303"/>
      <c r="G207" s="311" t="s">
        <v>100</v>
      </c>
      <c r="H207" s="293" t="s">
        <v>398</v>
      </c>
      <c r="I207" s="303"/>
      <c r="J207" s="303"/>
      <c r="K207" s="303"/>
      <c r="L207" s="303"/>
    </row>
    <row r="208" spans="1:12" ht="12.75">
      <c r="A208" s="311"/>
      <c r="B208" s="301" t="s">
        <v>429</v>
      </c>
      <c r="C208" s="304">
        <f>SUM(C205:C207)</f>
        <v>0</v>
      </c>
      <c r="D208" s="304">
        <f>SUM(D205:D207)</f>
        <v>0</v>
      </c>
      <c r="E208" s="304">
        <f>SUM(E205:E207)</f>
        <v>0</v>
      </c>
      <c r="F208" s="304">
        <f>SUM(F205:F207)</f>
        <v>0</v>
      </c>
      <c r="G208" s="311" t="s">
        <v>441</v>
      </c>
      <c r="H208" s="301" t="s">
        <v>430</v>
      </c>
      <c r="I208" s="304">
        <f>SUM(I205:I207)</f>
        <v>0</v>
      </c>
      <c r="J208" s="304">
        <f>SUM(J205:J207)</f>
        <v>0</v>
      </c>
      <c r="K208" s="304">
        <f>SUM(K205:K207)</f>
        <v>0</v>
      </c>
      <c r="L208" s="304"/>
    </row>
    <row r="209" spans="1:12" ht="12.75">
      <c r="A209" s="311"/>
      <c r="B209" s="327" t="s">
        <v>433</v>
      </c>
      <c r="C209" s="328"/>
      <c r="D209" s="328"/>
      <c r="E209" s="328"/>
      <c r="F209" s="447"/>
      <c r="G209" s="311" t="s">
        <v>442</v>
      </c>
      <c r="H209" s="293" t="s">
        <v>434</v>
      </c>
      <c r="I209" s="303">
        <f>C208-I208</f>
        <v>0</v>
      </c>
      <c r="J209" s="303">
        <f>D208-J208</f>
        <v>0</v>
      </c>
      <c r="K209" s="303">
        <f>E208-K208</f>
        <v>0</v>
      </c>
      <c r="L209" s="303"/>
    </row>
    <row r="210" spans="1:12" ht="13.5">
      <c r="A210" s="311"/>
      <c r="B210" s="332" t="s">
        <v>435</v>
      </c>
      <c r="C210" s="333">
        <f>SUM(C209+C193)</f>
        <v>92078</v>
      </c>
      <c r="D210" s="333">
        <f>SUM(D209+D193)</f>
        <v>0</v>
      </c>
      <c r="E210" s="333">
        <f>SUM(E209+E193)</f>
        <v>0</v>
      </c>
      <c r="F210" s="333">
        <f>SUM(F209+F193)</f>
        <v>92078</v>
      </c>
      <c r="G210" s="311" t="s">
        <v>443</v>
      </c>
      <c r="H210" s="332" t="s">
        <v>436</v>
      </c>
      <c r="I210" s="320"/>
      <c r="J210" s="320"/>
      <c r="K210" s="320"/>
      <c r="L210" s="303"/>
    </row>
    <row r="211" spans="1:12" ht="12.75">
      <c r="A211" s="311"/>
      <c r="B211" s="301" t="s">
        <v>456</v>
      </c>
      <c r="C211" s="304">
        <f>SUM(C208+C192+C210)</f>
        <v>306286</v>
      </c>
      <c r="D211" s="304">
        <f>SUM(D208+D192+D210)</f>
        <v>0</v>
      </c>
      <c r="E211" s="304">
        <f>SUM(E208+E192+E210)</f>
        <v>0</v>
      </c>
      <c r="F211" s="304">
        <f>SUM(F208+F192+F210)</f>
        <v>306286</v>
      </c>
      <c r="G211" s="311" t="s">
        <v>445</v>
      </c>
      <c r="H211" s="301" t="s">
        <v>456</v>
      </c>
      <c r="I211" s="304">
        <f>SUM(I194,I208,I210)</f>
        <v>306286</v>
      </c>
      <c r="J211" s="304">
        <f>SUM(J194,J208,J210)</f>
        <v>0</v>
      </c>
      <c r="K211" s="304">
        <f>SUM(K194,K208,K210)</f>
        <v>0</v>
      </c>
      <c r="L211" s="304">
        <f>SUM(L194,L208,L210)</f>
        <v>306286</v>
      </c>
    </row>
    <row r="212" spans="1:12" ht="12.75" customHeight="1">
      <c r="A212" s="564" t="s">
        <v>457</v>
      </c>
      <c r="B212" s="564"/>
      <c r="C212" s="564"/>
      <c r="D212" s="564"/>
      <c r="E212" s="564"/>
      <c r="F212" s="564"/>
      <c r="G212" s="564"/>
      <c r="H212" s="564"/>
      <c r="I212" s="564"/>
      <c r="J212" s="564"/>
      <c r="K212" s="564"/>
      <c r="L212" s="564"/>
    </row>
    <row r="213" spans="1:12" ht="12.75" customHeight="1">
      <c r="A213" s="564"/>
      <c r="B213" s="564"/>
      <c r="C213" s="564"/>
      <c r="D213" s="564"/>
      <c r="E213" s="564"/>
      <c r="F213" s="564"/>
      <c r="G213" s="564"/>
      <c r="H213" s="564"/>
      <c r="I213" s="564"/>
      <c r="J213" s="564"/>
      <c r="K213" s="564"/>
      <c r="L213" s="564"/>
    </row>
    <row r="214" spans="1:12" ht="15.75">
      <c r="A214" s="315" t="s">
        <v>447</v>
      </c>
      <c r="B214" s="58"/>
      <c r="C214" s="316"/>
      <c r="D214" s="316"/>
      <c r="E214" s="316"/>
      <c r="F214" s="316"/>
      <c r="G214" s="58"/>
      <c r="H214" s="58"/>
      <c r="I214" s="565" t="s">
        <v>364</v>
      </c>
      <c r="J214" s="566"/>
      <c r="K214" s="566"/>
      <c r="L214" s="566"/>
    </row>
    <row r="215" spans="1:12" ht="12.75" customHeight="1">
      <c r="A215" s="567" t="s">
        <v>365</v>
      </c>
      <c r="B215" s="569" t="s">
        <v>142</v>
      </c>
      <c r="C215" s="571" t="s">
        <v>155</v>
      </c>
      <c r="D215" s="571" t="s">
        <v>52</v>
      </c>
      <c r="E215" s="571" t="s">
        <v>53</v>
      </c>
      <c r="F215" s="571" t="s">
        <v>54</v>
      </c>
      <c r="G215" s="567" t="s">
        <v>365</v>
      </c>
      <c r="H215" s="569" t="s">
        <v>369</v>
      </c>
      <c r="I215" s="571" t="s">
        <v>155</v>
      </c>
      <c r="J215" s="571" t="s">
        <v>52</v>
      </c>
      <c r="K215" s="571" t="s">
        <v>53</v>
      </c>
      <c r="L215" s="571" t="s">
        <v>54</v>
      </c>
    </row>
    <row r="216" spans="1:12" ht="12.75" customHeight="1">
      <c r="A216" s="567"/>
      <c r="B216" s="569"/>
      <c r="C216" s="572"/>
      <c r="D216" s="572"/>
      <c r="E216" s="572"/>
      <c r="F216" s="574"/>
      <c r="G216" s="567"/>
      <c r="H216" s="569"/>
      <c r="I216" s="572"/>
      <c r="J216" s="572"/>
      <c r="K216" s="572"/>
      <c r="L216" s="574"/>
    </row>
    <row r="217" spans="1:12" ht="12.75">
      <c r="A217" s="568"/>
      <c r="B217" s="570"/>
      <c r="C217" s="573"/>
      <c r="D217" s="573"/>
      <c r="E217" s="573"/>
      <c r="F217" s="575"/>
      <c r="G217" s="568"/>
      <c r="H217" s="570"/>
      <c r="I217" s="573"/>
      <c r="J217" s="573"/>
      <c r="K217" s="573"/>
      <c r="L217" s="575"/>
    </row>
    <row r="218" spans="1:12" ht="12.75">
      <c r="A218" s="317" t="s">
        <v>88</v>
      </c>
      <c r="B218" s="317" t="s">
        <v>185</v>
      </c>
      <c r="C218" s="318"/>
      <c r="D218" s="318"/>
      <c r="E218" s="318"/>
      <c r="F218" s="318"/>
      <c r="G218" s="317"/>
      <c r="H218" s="317" t="s">
        <v>91</v>
      </c>
      <c r="I218" s="318">
        <f>SUM(I219:I221,I222,I229,I230)</f>
        <v>105524</v>
      </c>
      <c r="J218" s="318">
        <f>SUM(J219:J221,J222,J229,J230)</f>
        <v>0</v>
      </c>
      <c r="K218" s="318">
        <f>SUM(K219:K221,K222,K229,K230)</f>
        <v>0</v>
      </c>
      <c r="L218" s="318">
        <f>SUM(I218:K218)</f>
        <v>105524</v>
      </c>
    </row>
    <row r="219" spans="1:12" ht="12.75">
      <c r="A219" s="311" t="s">
        <v>100</v>
      </c>
      <c r="B219" s="296" t="s">
        <v>370</v>
      </c>
      <c r="C219" s="320">
        <v>8932</v>
      </c>
      <c r="D219" s="320"/>
      <c r="E219" s="320"/>
      <c r="F219" s="320">
        <f>SUM(C219:E219)</f>
        <v>8932</v>
      </c>
      <c r="G219" s="317" t="s">
        <v>88</v>
      </c>
      <c r="H219" s="317" t="s">
        <v>92</v>
      </c>
      <c r="I219" s="303">
        <f>71432-2475</f>
        <v>68957</v>
      </c>
      <c r="J219" s="303"/>
      <c r="K219" s="303"/>
      <c r="L219" s="318">
        <f aca="true" t="shared" si="38" ref="L219:L227">SUM(I219:K219)</f>
        <v>68957</v>
      </c>
    </row>
    <row r="220" spans="1:12" ht="12.75">
      <c r="A220" s="311" t="s">
        <v>101</v>
      </c>
      <c r="B220" s="296" t="s">
        <v>371</v>
      </c>
      <c r="C220" s="320">
        <v>0</v>
      </c>
      <c r="D220" s="320">
        <v>0</v>
      </c>
      <c r="E220" s="320">
        <v>0</v>
      </c>
      <c r="F220" s="320">
        <f aca="true" t="shared" si="39" ref="F220:F232">SUM(C220:E220)</f>
        <v>0</v>
      </c>
      <c r="G220" s="317" t="s">
        <v>372</v>
      </c>
      <c r="H220" s="317" t="s">
        <v>93</v>
      </c>
      <c r="I220" s="303">
        <v>22438</v>
      </c>
      <c r="J220" s="303"/>
      <c r="K220" s="303"/>
      <c r="L220" s="318">
        <f t="shared" si="38"/>
        <v>22438</v>
      </c>
    </row>
    <row r="221" spans="1:12" ht="12.75">
      <c r="A221" s="323" t="s">
        <v>373</v>
      </c>
      <c r="B221" s="293" t="s">
        <v>374</v>
      </c>
      <c r="C221" s="303">
        <v>0</v>
      </c>
      <c r="D221" s="303">
        <v>0</v>
      </c>
      <c r="E221" s="303">
        <v>0</v>
      </c>
      <c r="F221" s="320">
        <f t="shared" si="39"/>
        <v>0</v>
      </c>
      <c r="G221" s="317" t="s">
        <v>194</v>
      </c>
      <c r="H221" s="317" t="s">
        <v>269</v>
      </c>
      <c r="I221" s="303">
        <v>10489</v>
      </c>
      <c r="J221" s="303"/>
      <c r="K221" s="303"/>
      <c r="L221" s="318">
        <f t="shared" si="38"/>
        <v>10489</v>
      </c>
    </row>
    <row r="222" spans="1:12" ht="12.75">
      <c r="A222" s="323" t="s">
        <v>375</v>
      </c>
      <c r="B222" s="293" t="s">
        <v>376</v>
      </c>
      <c r="C222" s="303"/>
      <c r="D222" s="303"/>
      <c r="E222" s="303"/>
      <c r="F222" s="320">
        <f t="shared" si="39"/>
        <v>0</v>
      </c>
      <c r="G222" s="317" t="s">
        <v>195</v>
      </c>
      <c r="H222" s="317" t="s">
        <v>377</v>
      </c>
      <c r="I222" s="303">
        <f>SUM(I223:I227)</f>
        <v>3640</v>
      </c>
      <c r="J222" s="303"/>
      <c r="K222" s="303"/>
      <c r="L222" s="318">
        <f t="shared" si="38"/>
        <v>3640</v>
      </c>
    </row>
    <row r="223" spans="1:12" ht="12.75">
      <c r="A223" s="323" t="s">
        <v>378</v>
      </c>
      <c r="B223" s="293" t="s">
        <v>379</v>
      </c>
      <c r="C223" s="303"/>
      <c r="D223" s="303"/>
      <c r="E223" s="303"/>
      <c r="F223" s="320">
        <f t="shared" si="39"/>
        <v>0</v>
      </c>
      <c r="G223" s="311" t="s">
        <v>100</v>
      </c>
      <c r="H223" s="293" t="s">
        <v>96</v>
      </c>
      <c r="I223" s="303">
        <v>3640</v>
      </c>
      <c r="J223" s="303"/>
      <c r="K223" s="303"/>
      <c r="L223" s="318">
        <f t="shared" si="38"/>
        <v>3640</v>
      </c>
    </row>
    <row r="224" spans="1:12" ht="12.75">
      <c r="A224" s="324" t="s">
        <v>192</v>
      </c>
      <c r="B224" s="317" t="s">
        <v>186</v>
      </c>
      <c r="C224" s="303"/>
      <c r="D224" s="303"/>
      <c r="E224" s="303"/>
      <c r="F224" s="320">
        <f t="shared" si="39"/>
        <v>0</v>
      </c>
      <c r="G224" s="311" t="s">
        <v>101</v>
      </c>
      <c r="H224" s="293" t="s">
        <v>380</v>
      </c>
      <c r="I224" s="303"/>
      <c r="J224" s="303"/>
      <c r="K224" s="303"/>
      <c r="L224" s="318">
        <f t="shared" si="38"/>
        <v>0</v>
      </c>
    </row>
    <row r="225" spans="1:12" ht="12.75">
      <c r="A225" s="311" t="s">
        <v>100</v>
      </c>
      <c r="B225" s="296" t="s">
        <v>381</v>
      </c>
      <c r="C225" s="320">
        <f>SUM(C226:C228)</f>
        <v>76932</v>
      </c>
      <c r="D225" s="320">
        <f>SUM(D226:D228)</f>
        <v>0</v>
      </c>
      <c r="E225" s="320">
        <f>SUM(E226:E228)</f>
        <v>0</v>
      </c>
      <c r="F225" s="320">
        <f t="shared" si="39"/>
        <v>76932</v>
      </c>
      <c r="G225" s="311" t="s">
        <v>102</v>
      </c>
      <c r="H225" s="293" t="s">
        <v>382</v>
      </c>
      <c r="I225" s="303">
        <v>0</v>
      </c>
      <c r="J225" s="303">
        <v>0</v>
      </c>
      <c r="K225" s="303">
        <v>0</v>
      </c>
      <c r="L225" s="318">
        <f t="shared" si="38"/>
        <v>0</v>
      </c>
    </row>
    <row r="226" spans="1:12" ht="12.75">
      <c r="A226" s="311" t="s">
        <v>383</v>
      </c>
      <c r="B226" s="293" t="s">
        <v>384</v>
      </c>
      <c r="C226" s="303">
        <v>76639</v>
      </c>
      <c r="D226" s="303"/>
      <c r="E226" s="303"/>
      <c r="F226" s="320">
        <f t="shared" si="39"/>
        <v>76639</v>
      </c>
      <c r="G226" s="311" t="s">
        <v>103</v>
      </c>
      <c r="H226" s="293" t="s">
        <v>385</v>
      </c>
      <c r="I226" s="303">
        <v>0</v>
      </c>
      <c r="J226" s="303">
        <v>0</v>
      </c>
      <c r="K226" s="303">
        <v>0</v>
      </c>
      <c r="L226" s="318">
        <f t="shared" si="38"/>
        <v>0</v>
      </c>
    </row>
    <row r="227" spans="1:12" ht="12.75">
      <c r="A227" s="311" t="s">
        <v>386</v>
      </c>
      <c r="B227" s="293" t="s">
        <v>387</v>
      </c>
      <c r="C227" s="303">
        <v>0</v>
      </c>
      <c r="D227" s="303"/>
      <c r="E227" s="303"/>
      <c r="F227" s="320">
        <f t="shared" si="39"/>
        <v>0</v>
      </c>
      <c r="G227" s="311" t="s">
        <v>104</v>
      </c>
      <c r="H227" s="293" t="s">
        <v>388</v>
      </c>
      <c r="I227" s="303">
        <v>0</v>
      </c>
      <c r="J227" s="303">
        <v>0</v>
      </c>
      <c r="K227" s="303">
        <v>0</v>
      </c>
      <c r="L227" s="318">
        <f t="shared" si="38"/>
        <v>0</v>
      </c>
    </row>
    <row r="228" spans="1:12" ht="12.75">
      <c r="A228" s="311" t="s">
        <v>389</v>
      </c>
      <c r="B228" s="293" t="s">
        <v>390</v>
      </c>
      <c r="C228" s="303">
        <v>293</v>
      </c>
      <c r="D228" s="303"/>
      <c r="E228" s="303"/>
      <c r="F228" s="320">
        <f t="shared" si="39"/>
        <v>293</v>
      </c>
      <c r="G228" s="311"/>
      <c r="H228" s="293"/>
      <c r="I228" s="303"/>
      <c r="J228" s="303"/>
      <c r="K228" s="303"/>
      <c r="L228" s="303"/>
    </row>
    <row r="229" spans="1:12" ht="12.75">
      <c r="A229" s="317" t="s">
        <v>391</v>
      </c>
      <c r="B229" s="317" t="s">
        <v>392</v>
      </c>
      <c r="C229" s="303">
        <v>9577</v>
      </c>
      <c r="D229" s="303"/>
      <c r="E229" s="303"/>
      <c r="F229" s="320">
        <f t="shared" si="39"/>
        <v>9577</v>
      </c>
      <c r="G229" s="317" t="s">
        <v>197</v>
      </c>
      <c r="H229" s="317" t="s">
        <v>393</v>
      </c>
      <c r="I229" s="303"/>
      <c r="J229" s="303"/>
      <c r="K229" s="303"/>
      <c r="L229" s="303"/>
    </row>
    <row r="230" spans="1:12" ht="12.75">
      <c r="A230" s="317" t="s">
        <v>394</v>
      </c>
      <c r="B230" s="317" t="s">
        <v>395</v>
      </c>
      <c r="C230" s="303"/>
      <c r="D230" s="303"/>
      <c r="E230" s="303"/>
      <c r="F230" s="320">
        <f t="shared" si="39"/>
        <v>0</v>
      </c>
      <c r="G230" s="317" t="s">
        <v>198</v>
      </c>
      <c r="H230" s="317" t="s">
        <v>396</v>
      </c>
      <c r="I230" s="303"/>
      <c r="J230" s="303"/>
      <c r="K230" s="303"/>
      <c r="L230" s="303"/>
    </row>
    <row r="231" spans="1:12" ht="12.75">
      <c r="A231" s="311"/>
      <c r="B231" s="293" t="s">
        <v>397</v>
      </c>
      <c r="C231" s="303"/>
      <c r="D231" s="303"/>
      <c r="E231" s="303"/>
      <c r="F231" s="320">
        <f t="shared" si="39"/>
        <v>0</v>
      </c>
      <c r="G231" s="311" t="s">
        <v>100</v>
      </c>
      <c r="H231" s="293" t="s">
        <v>398</v>
      </c>
      <c r="I231" s="303"/>
      <c r="J231" s="303"/>
      <c r="K231" s="303"/>
      <c r="L231" s="303"/>
    </row>
    <row r="232" spans="1:12" ht="12.75">
      <c r="A232" s="317" t="s">
        <v>399</v>
      </c>
      <c r="B232" s="317" t="s">
        <v>400</v>
      </c>
      <c r="C232" s="320">
        <v>0</v>
      </c>
      <c r="D232" s="320">
        <v>0</v>
      </c>
      <c r="E232" s="320">
        <v>0</v>
      </c>
      <c r="F232" s="320">
        <f t="shared" si="39"/>
        <v>0</v>
      </c>
      <c r="G232" s="311" t="s">
        <v>101</v>
      </c>
      <c r="H232" s="293" t="s">
        <v>401</v>
      </c>
      <c r="I232" s="303"/>
      <c r="J232" s="303"/>
      <c r="K232" s="303"/>
      <c r="L232" s="303"/>
    </row>
    <row r="233" spans="1:12" ht="12.75">
      <c r="A233" s="317" t="s">
        <v>198</v>
      </c>
      <c r="B233" s="317" t="s">
        <v>402</v>
      </c>
      <c r="C233" s="303"/>
      <c r="D233" s="303"/>
      <c r="E233" s="303"/>
      <c r="F233" s="303"/>
      <c r="G233" s="311"/>
      <c r="H233" s="293"/>
      <c r="I233" s="303"/>
      <c r="J233" s="303"/>
      <c r="K233" s="303"/>
      <c r="L233" s="303"/>
    </row>
    <row r="234" spans="1:12" ht="12.75">
      <c r="A234" s="311"/>
      <c r="B234" s="301" t="s">
        <v>403</v>
      </c>
      <c r="C234" s="304">
        <f>SUM(C219+C220+C225+C229+C230+C232+C233)</f>
        <v>95441</v>
      </c>
      <c r="D234" s="304">
        <f>SUM(D219+D220+D225+D229+D230+D232+D233)</f>
        <v>0</v>
      </c>
      <c r="E234" s="304">
        <f>SUM(E219+E220+E225+E229+E230+E232+E233)</f>
        <v>0</v>
      </c>
      <c r="F234" s="446">
        <f>SUM(C234:E234)</f>
        <v>95441</v>
      </c>
      <c r="G234" s="311"/>
      <c r="H234" s="301" t="s">
        <v>404</v>
      </c>
      <c r="I234" s="304">
        <f>SUM(I219+I220+I221+I222)</f>
        <v>105524</v>
      </c>
      <c r="J234" s="304">
        <f>SUM(J219+J220+J221+J222)</f>
        <v>0</v>
      </c>
      <c r="K234" s="304">
        <f>SUM(K219+K220+K221+K222)</f>
        <v>0</v>
      </c>
      <c r="L234" s="304">
        <f>SUM(L219+L220+L221+L222)</f>
        <v>105524</v>
      </c>
    </row>
    <row r="235" spans="1:12" ht="12.75">
      <c r="A235" s="311"/>
      <c r="B235" s="327" t="s">
        <v>405</v>
      </c>
      <c r="C235" s="328">
        <f>I236-C234</f>
        <v>30938</v>
      </c>
      <c r="D235" s="328">
        <f>J236-D234</f>
        <v>0</v>
      </c>
      <c r="E235" s="328">
        <f>K236-E234</f>
        <v>0</v>
      </c>
      <c r="F235" s="328">
        <f>L236-F234</f>
        <v>30938</v>
      </c>
      <c r="G235" s="311"/>
      <c r="H235" s="293" t="s">
        <v>406</v>
      </c>
      <c r="I235" s="328">
        <f>21140-285</f>
        <v>20855</v>
      </c>
      <c r="J235" s="328"/>
      <c r="K235" s="328"/>
      <c r="L235" s="303">
        <f>SUM(I235:K235)</f>
        <v>20855</v>
      </c>
    </row>
    <row r="236" spans="1:12" ht="12.75">
      <c r="A236" s="311"/>
      <c r="B236" s="317" t="s">
        <v>407</v>
      </c>
      <c r="C236" s="303"/>
      <c r="D236" s="303"/>
      <c r="E236" s="303"/>
      <c r="F236" s="303"/>
      <c r="G236" s="311"/>
      <c r="H236" s="301" t="s">
        <v>408</v>
      </c>
      <c r="I236" s="304">
        <f>SUM(I234:I235)</f>
        <v>126379</v>
      </c>
      <c r="J236" s="304">
        <f>SUM(J234:J235)</f>
        <v>0</v>
      </c>
      <c r="K236" s="304">
        <f>SUM(K234:K235)</f>
        <v>0</v>
      </c>
      <c r="L236" s="304">
        <f>SUM(L234:L235)</f>
        <v>126379</v>
      </c>
    </row>
    <row r="237" spans="1:12" ht="12.75">
      <c r="A237" s="317" t="s">
        <v>409</v>
      </c>
      <c r="B237" s="317" t="s">
        <v>410</v>
      </c>
      <c r="C237" s="303"/>
      <c r="D237" s="303"/>
      <c r="E237" s="303"/>
      <c r="F237" s="303"/>
      <c r="G237" s="311"/>
      <c r="H237" s="327" t="s">
        <v>411</v>
      </c>
      <c r="I237" s="303"/>
      <c r="J237" s="303"/>
      <c r="K237" s="303"/>
      <c r="L237" s="303"/>
    </row>
    <row r="238" spans="1:12" ht="12.75">
      <c r="A238" s="317" t="s">
        <v>412</v>
      </c>
      <c r="B238" s="317" t="s">
        <v>413</v>
      </c>
      <c r="C238" s="303"/>
      <c r="D238" s="303"/>
      <c r="E238" s="303"/>
      <c r="F238" s="303"/>
      <c r="G238" s="311"/>
      <c r="H238" s="317" t="s">
        <v>94</v>
      </c>
      <c r="I238" s="303"/>
      <c r="J238" s="303"/>
      <c r="K238" s="303"/>
      <c r="L238" s="303"/>
    </row>
    <row r="239" spans="1:12" ht="12.75">
      <c r="A239" s="317" t="s">
        <v>414</v>
      </c>
      <c r="B239" s="317" t="s">
        <v>415</v>
      </c>
      <c r="C239" s="303"/>
      <c r="D239" s="303"/>
      <c r="E239" s="303"/>
      <c r="F239" s="303"/>
      <c r="G239" s="317" t="s">
        <v>194</v>
      </c>
      <c r="H239" s="317" t="s">
        <v>416</v>
      </c>
      <c r="I239" s="303"/>
      <c r="J239" s="303"/>
      <c r="K239" s="303"/>
      <c r="L239" s="303"/>
    </row>
    <row r="240" spans="1:12" ht="12.75">
      <c r="A240" s="317" t="s">
        <v>417</v>
      </c>
      <c r="B240" s="317" t="s">
        <v>193</v>
      </c>
      <c r="C240" s="303"/>
      <c r="D240" s="303"/>
      <c r="E240" s="303"/>
      <c r="F240" s="303"/>
      <c r="G240" s="317" t="s">
        <v>195</v>
      </c>
      <c r="H240" s="317" t="s">
        <v>377</v>
      </c>
      <c r="I240" s="303"/>
      <c r="J240" s="303"/>
      <c r="K240" s="303"/>
      <c r="L240" s="303"/>
    </row>
    <row r="241" spans="1:12" ht="12.75">
      <c r="A241" s="317" t="s">
        <v>194</v>
      </c>
      <c r="B241" s="317" t="s">
        <v>418</v>
      </c>
      <c r="C241" s="303"/>
      <c r="D241" s="303"/>
      <c r="E241" s="303"/>
      <c r="F241" s="303"/>
      <c r="G241" s="311" t="s">
        <v>100</v>
      </c>
      <c r="H241" s="293" t="s">
        <v>96</v>
      </c>
      <c r="I241" s="303"/>
      <c r="J241" s="303"/>
      <c r="K241" s="303"/>
      <c r="L241" s="303"/>
    </row>
    <row r="242" spans="1:12" ht="12.75">
      <c r="A242" s="311" t="s">
        <v>100</v>
      </c>
      <c r="B242" s="330" t="s">
        <v>419</v>
      </c>
      <c r="C242" s="303"/>
      <c r="D242" s="303"/>
      <c r="E242" s="303"/>
      <c r="F242" s="303"/>
      <c r="G242" s="311" t="s">
        <v>101</v>
      </c>
      <c r="H242" s="293" t="s">
        <v>420</v>
      </c>
      <c r="I242" s="303"/>
      <c r="J242" s="303"/>
      <c r="K242" s="303"/>
      <c r="L242" s="303"/>
    </row>
    <row r="243" spans="1:12" ht="12.75">
      <c r="A243" s="311" t="s">
        <v>101</v>
      </c>
      <c r="B243" s="330" t="s">
        <v>421</v>
      </c>
      <c r="C243" s="303"/>
      <c r="D243" s="303"/>
      <c r="E243" s="303"/>
      <c r="F243" s="303"/>
      <c r="G243" s="317" t="s">
        <v>196</v>
      </c>
      <c r="H243" s="317" t="s">
        <v>422</v>
      </c>
      <c r="I243" s="303"/>
      <c r="J243" s="303"/>
      <c r="K243" s="303"/>
      <c r="L243" s="303"/>
    </row>
    <row r="244" spans="1:12" ht="12.75">
      <c r="A244" s="311" t="s">
        <v>102</v>
      </c>
      <c r="B244" s="330" t="s">
        <v>161</v>
      </c>
      <c r="C244" s="303"/>
      <c r="D244" s="303"/>
      <c r="E244" s="303"/>
      <c r="F244" s="303"/>
      <c r="G244" s="311" t="s">
        <v>100</v>
      </c>
      <c r="H244" s="330" t="s">
        <v>117</v>
      </c>
      <c r="I244" s="303"/>
      <c r="J244" s="303"/>
      <c r="K244" s="303"/>
      <c r="L244" s="303"/>
    </row>
    <row r="245" spans="1:12" ht="12.75">
      <c r="A245" s="317" t="s">
        <v>423</v>
      </c>
      <c r="B245" s="317" t="s">
        <v>424</v>
      </c>
      <c r="C245" s="303"/>
      <c r="D245" s="303"/>
      <c r="E245" s="303"/>
      <c r="F245" s="303"/>
      <c r="G245" s="311" t="s">
        <v>101</v>
      </c>
      <c r="H245" s="330" t="s">
        <v>97</v>
      </c>
      <c r="I245" s="303"/>
      <c r="J245" s="303"/>
      <c r="K245" s="303"/>
      <c r="L245" s="303"/>
    </row>
    <row r="246" spans="1:12" ht="12.75">
      <c r="A246" s="317" t="s">
        <v>425</v>
      </c>
      <c r="B246" s="317" t="s">
        <v>426</v>
      </c>
      <c r="C246" s="303"/>
      <c r="D246" s="303"/>
      <c r="E246" s="303"/>
      <c r="F246" s="303"/>
      <c r="G246" s="311" t="s">
        <v>102</v>
      </c>
      <c r="H246" s="293" t="s">
        <v>163</v>
      </c>
      <c r="I246" s="303"/>
      <c r="J246" s="303"/>
      <c r="K246" s="303"/>
      <c r="L246" s="303"/>
    </row>
    <row r="247" spans="1:12" ht="12.75">
      <c r="A247" s="317" t="s">
        <v>196</v>
      </c>
      <c r="B247" s="317" t="s">
        <v>427</v>
      </c>
      <c r="C247" s="303">
        <v>0</v>
      </c>
      <c r="D247" s="303">
        <v>0</v>
      </c>
      <c r="E247" s="303">
        <v>0</v>
      </c>
      <c r="F247" s="303"/>
      <c r="G247" s="317" t="s">
        <v>197</v>
      </c>
      <c r="H247" s="317" t="s">
        <v>428</v>
      </c>
      <c r="I247" s="303"/>
      <c r="J247" s="303"/>
      <c r="K247" s="303"/>
      <c r="L247" s="303"/>
    </row>
    <row r="248" spans="1:12" ht="12.75">
      <c r="A248" s="317" t="s">
        <v>197</v>
      </c>
      <c r="B248" s="317" t="s">
        <v>428</v>
      </c>
      <c r="C248" s="303">
        <v>0</v>
      </c>
      <c r="D248" s="303">
        <v>0</v>
      </c>
      <c r="E248" s="303">
        <v>0</v>
      </c>
      <c r="F248" s="303"/>
      <c r="G248" s="317" t="s">
        <v>198</v>
      </c>
      <c r="H248" s="317" t="s">
        <v>396</v>
      </c>
      <c r="I248" s="303"/>
      <c r="J248" s="303"/>
      <c r="K248" s="303"/>
      <c r="L248" s="303"/>
    </row>
    <row r="249" spans="1:12" ht="12.75">
      <c r="A249" s="317" t="s">
        <v>198</v>
      </c>
      <c r="B249" s="317" t="s">
        <v>402</v>
      </c>
      <c r="C249" s="303">
        <v>0</v>
      </c>
      <c r="D249" s="303">
        <v>0</v>
      </c>
      <c r="E249" s="303">
        <v>0</v>
      </c>
      <c r="F249" s="303"/>
      <c r="G249" s="311" t="s">
        <v>100</v>
      </c>
      <c r="H249" s="293" t="s">
        <v>398</v>
      </c>
      <c r="I249" s="303"/>
      <c r="J249" s="303"/>
      <c r="K249" s="303"/>
      <c r="L249" s="303"/>
    </row>
    <row r="250" spans="1:12" ht="12.75">
      <c r="A250" s="311"/>
      <c r="B250" s="301" t="s">
        <v>429</v>
      </c>
      <c r="C250" s="304">
        <f>SUM(C247:C249)</f>
        <v>0</v>
      </c>
      <c r="D250" s="304">
        <f>SUM(D247:D249)</f>
        <v>0</v>
      </c>
      <c r="E250" s="304">
        <f>SUM(E247:E249)</f>
        <v>0</v>
      </c>
      <c r="F250" s="304"/>
      <c r="G250" s="311" t="s">
        <v>441</v>
      </c>
      <c r="H250" s="301" t="s">
        <v>430</v>
      </c>
      <c r="I250" s="304">
        <f>SUM(I247:I249)</f>
        <v>0</v>
      </c>
      <c r="J250" s="304">
        <f>SUM(J247:J249)</f>
        <v>0</v>
      </c>
      <c r="K250" s="304">
        <f>SUM(K247:K249)</f>
        <v>0</v>
      </c>
      <c r="L250" s="304"/>
    </row>
    <row r="251" spans="1:12" ht="12.75">
      <c r="A251" s="311"/>
      <c r="B251" s="327" t="s">
        <v>433</v>
      </c>
      <c r="C251" s="328"/>
      <c r="D251" s="328"/>
      <c r="E251" s="328"/>
      <c r="F251" s="447"/>
      <c r="G251" s="311" t="s">
        <v>442</v>
      </c>
      <c r="H251" s="293" t="s">
        <v>434</v>
      </c>
      <c r="I251" s="303">
        <f>C250-I250</f>
        <v>0</v>
      </c>
      <c r="J251" s="303">
        <f>D250-J250</f>
        <v>0</v>
      </c>
      <c r="K251" s="303">
        <f>E250-K250</f>
        <v>0</v>
      </c>
      <c r="L251" s="303"/>
    </row>
    <row r="252" spans="1:12" ht="13.5">
      <c r="A252" s="311"/>
      <c r="B252" s="332" t="s">
        <v>435</v>
      </c>
      <c r="C252" s="333">
        <f>SUM(C251+C235)</f>
        <v>30938</v>
      </c>
      <c r="D252" s="333">
        <f>SUM(D251+D235)</f>
        <v>0</v>
      </c>
      <c r="E252" s="333">
        <f>SUM(E251+E235)</f>
        <v>0</v>
      </c>
      <c r="F252" s="333">
        <f>SUM(F251+F235)</f>
        <v>30938</v>
      </c>
      <c r="G252" s="311" t="s">
        <v>443</v>
      </c>
      <c r="H252" s="332" t="s">
        <v>436</v>
      </c>
      <c r="I252" s="303"/>
      <c r="J252" s="303"/>
      <c r="K252" s="303"/>
      <c r="L252" s="303"/>
    </row>
    <row r="253" spans="1:12" ht="12.75">
      <c r="A253" s="311"/>
      <c r="B253" s="301" t="s">
        <v>458</v>
      </c>
      <c r="C253" s="304">
        <f>SUM(C250+C234+C252)</f>
        <v>126379</v>
      </c>
      <c r="D253" s="304">
        <f>SUM(D250+D234+D252)</f>
        <v>0</v>
      </c>
      <c r="E253" s="304">
        <f>SUM(E250+E234+E252)</f>
        <v>0</v>
      </c>
      <c r="F253" s="304">
        <f>SUM(F250+F234+F252)</f>
        <v>126379</v>
      </c>
      <c r="G253" s="311" t="s">
        <v>445</v>
      </c>
      <c r="H253" s="301" t="s">
        <v>458</v>
      </c>
      <c r="I253" s="304">
        <f>SUM(I236,I250,I252)</f>
        <v>126379</v>
      </c>
      <c r="J253" s="304">
        <f>SUM(J236,J250,J252)</f>
        <v>0</v>
      </c>
      <c r="K253" s="304">
        <f>SUM(K236,K250,K252)</f>
        <v>0</v>
      </c>
      <c r="L253" s="304">
        <f>SUM(L236,L250,L252)</f>
        <v>126379</v>
      </c>
    </row>
    <row r="254" spans="1:12" ht="12.75" customHeight="1">
      <c r="A254" s="564" t="s">
        <v>459</v>
      </c>
      <c r="B254" s="564"/>
      <c r="C254" s="564"/>
      <c r="D254" s="564"/>
      <c r="E254" s="564"/>
      <c r="F254" s="564"/>
      <c r="G254" s="564"/>
      <c r="H254" s="564"/>
      <c r="I254" s="564"/>
      <c r="J254" s="564"/>
      <c r="K254" s="564"/>
      <c r="L254" s="564"/>
    </row>
    <row r="255" spans="1:12" ht="12.75" customHeight="1">
      <c r="A255" s="564"/>
      <c r="B255" s="564"/>
      <c r="C255" s="564"/>
      <c r="D255" s="564"/>
      <c r="E255" s="564"/>
      <c r="F255" s="564"/>
      <c r="G255" s="564"/>
      <c r="H255" s="564"/>
      <c r="I255" s="564"/>
      <c r="J255" s="564"/>
      <c r="K255" s="564"/>
      <c r="L255" s="564"/>
    </row>
    <row r="256" spans="1:12" ht="15.75">
      <c r="A256" s="315" t="s">
        <v>447</v>
      </c>
      <c r="B256" s="58"/>
      <c r="C256" s="316"/>
      <c r="D256" s="316"/>
      <c r="E256" s="316"/>
      <c r="F256" s="316"/>
      <c r="G256" s="58"/>
      <c r="H256" s="58"/>
      <c r="I256" s="565" t="s">
        <v>364</v>
      </c>
      <c r="J256" s="566"/>
      <c r="K256" s="566"/>
      <c r="L256" s="566"/>
    </row>
    <row r="257" spans="1:12" ht="12.75" customHeight="1">
      <c r="A257" s="567" t="s">
        <v>365</v>
      </c>
      <c r="B257" s="569" t="s">
        <v>142</v>
      </c>
      <c r="C257" s="571" t="s">
        <v>155</v>
      </c>
      <c r="D257" s="571" t="s">
        <v>52</v>
      </c>
      <c r="E257" s="571" t="s">
        <v>53</v>
      </c>
      <c r="F257" s="571" t="s">
        <v>54</v>
      </c>
      <c r="G257" s="567" t="s">
        <v>365</v>
      </c>
      <c r="H257" s="569" t="s">
        <v>369</v>
      </c>
      <c r="I257" s="571" t="s">
        <v>155</v>
      </c>
      <c r="J257" s="571" t="s">
        <v>52</v>
      </c>
      <c r="K257" s="571" t="s">
        <v>53</v>
      </c>
      <c r="L257" s="571" t="s">
        <v>54</v>
      </c>
    </row>
    <row r="258" spans="1:12" ht="12.75" customHeight="1">
      <c r="A258" s="567"/>
      <c r="B258" s="569"/>
      <c r="C258" s="572"/>
      <c r="D258" s="572"/>
      <c r="E258" s="572"/>
      <c r="F258" s="574"/>
      <c r="G258" s="567"/>
      <c r="H258" s="569"/>
      <c r="I258" s="572"/>
      <c r="J258" s="572"/>
      <c r="K258" s="572"/>
      <c r="L258" s="574"/>
    </row>
    <row r="259" spans="1:12" ht="12.75">
      <c r="A259" s="568"/>
      <c r="B259" s="570"/>
      <c r="C259" s="573"/>
      <c r="D259" s="573"/>
      <c r="E259" s="573"/>
      <c r="F259" s="575"/>
      <c r="G259" s="568"/>
      <c r="H259" s="570"/>
      <c r="I259" s="573"/>
      <c r="J259" s="573"/>
      <c r="K259" s="573"/>
      <c r="L259" s="575"/>
    </row>
    <row r="260" spans="1:12" ht="12.75">
      <c r="A260" s="317" t="s">
        <v>88</v>
      </c>
      <c r="B260" s="317" t="s">
        <v>185</v>
      </c>
      <c r="C260" s="318"/>
      <c r="D260" s="318"/>
      <c r="E260" s="318"/>
      <c r="F260" s="318"/>
      <c r="G260" s="317"/>
      <c r="H260" s="317" t="s">
        <v>91</v>
      </c>
      <c r="I260" s="318">
        <f>SUM(I261:I263,I264,I271,I272)</f>
        <v>34578</v>
      </c>
      <c r="J260" s="318">
        <f>SUM(J261:J263,J264,J271,J272)</f>
        <v>0</v>
      </c>
      <c r="K260" s="318">
        <f>SUM(K261:K263,K264,K271,K272)</f>
        <v>0</v>
      </c>
      <c r="L260" s="318">
        <f>SUM(I260:K260)</f>
        <v>34578</v>
      </c>
    </row>
    <row r="261" spans="1:12" ht="12.75">
      <c r="A261" s="311" t="s">
        <v>100</v>
      </c>
      <c r="B261" s="296" t="s">
        <v>370</v>
      </c>
      <c r="C261" s="320">
        <v>19693</v>
      </c>
      <c r="D261" s="320"/>
      <c r="E261" s="320"/>
      <c r="F261" s="320">
        <f>SUM(C261:E261)</f>
        <v>19693</v>
      </c>
      <c r="G261" s="317" t="s">
        <v>88</v>
      </c>
      <c r="H261" s="317" t="s">
        <v>92</v>
      </c>
      <c r="I261" s="303">
        <f>18500</f>
        <v>18500</v>
      </c>
      <c r="J261" s="303"/>
      <c r="K261" s="303"/>
      <c r="L261" s="318">
        <f aca="true" t="shared" si="40" ref="L261:L270">SUM(I261:K261)</f>
        <v>18500</v>
      </c>
    </row>
    <row r="262" spans="1:12" ht="12.75">
      <c r="A262" s="311" t="s">
        <v>101</v>
      </c>
      <c r="B262" s="296" t="s">
        <v>371</v>
      </c>
      <c r="C262" s="320">
        <v>0</v>
      </c>
      <c r="D262" s="320"/>
      <c r="E262" s="320"/>
      <c r="F262" s="320">
        <f aca="true" t="shared" si="41" ref="F262:F275">SUM(C262:E262)</f>
        <v>0</v>
      </c>
      <c r="G262" s="317" t="s">
        <v>372</v>
      </c>
      <c r="H262" s="317" t="s">
        <v>93</v>
      </c>
      <c r="I262" s="303">
        <v>6148</v>
      </c>
      <c r="J262" s="303"/>
      <c r="K262" s="303"/>
      <c r="L262" s="318">
        <f t="shared" si="40"/>
        <v>6148</v>
      </c>
    </row>
    <row r="263" spans="1:12" ht="12.75">
      <c r="A263" s="323" t="s">
        <v>373</v>
      </c>
      <c r="B263" s="293" t="s">
        <v>374</v>
      </c>
      <c r="C263" s="303">
        <v>0</v>
      </c>
      <c r="D263" s="303">
        <v>0</v>
      </c>
      <c r="E263" s="303">
        <v>0</v>
      </c>
      <c r="F263" s="320">
        <f t="shared" si="41"/>
        <v>0</v>
      </c>
      <c r="G263" s="317" t="s">
        <v>194</v>
      </c>
      <c r="H263" s="317" t="s">
        <v>269</v>
      </c>
      <c r="I263" s="303">
        <v>9930</v>
      </c>
      <c r="J263" s="303"/>
      <c r="K263" s="303"/>
      <c r="L263" s="318">
        <f t="shared" si="40"/>
        <v>9930</v>
      </c>
    </row>
    <row r="264" spans="1:12" ht="12.75">
      <c r="A264" s="323" t="s">
        <v>375</v>
      </c>
      <c r="B264" s="293" t="s">
        <v>376</v>
      </c>
      <c r="C264" s="303"/>
      <c r="D264" s="303"/>
      <c r="E264" s="303"/>
      <c r="F264" s="320">
        <f t="shared" si="41"/>
        <v>0</v>
      </c>
      <c r="G264" s="317" t="s">
        <v>195</v>
      </c>
      <c r="H264" s="317" t="s">
        <v>377</v>
      </c>
      <c r="I264" s="303"/>
      <c r="J264" s="303"/>
      <c r="K264" s="303"/>
      <c r="L264" s="318">
        <f t="shared" si="40"/>
        <v>0</v>
      </c>
    </row>
    <row r="265" spans="1:12" ht="12.75">
      <c r="A265" s="323" t="s">
        <v>378</v>
      </c>
      <c r="B265" s="293" t="s">
        <v>379</v>
      </c>
      <c r="C265" s="303"/>
      <c r="D265" s="303"/>
      <c r="E265" s="303"/>
      <c r="F265" s="320">
        <f t="shared" si="41"/>
        <v>0</v>
      </c>
      <c r="G265" s="311" t="s">
        <v>100</v>
      </c>
      <c r="H265" s="293" t="s">
        <v>96</v>
      </c>
      <c r="I265" s="303"/>
      <c r="J265" s="303"/>
      <c r="K265" s="303"/>
      <c r="L265" s="318">
        <f t="shared" si="40"/>
        <v>0</v>
      </c>
    </row>
    <row r="266" spans="1:12" ht="12.75">
      <c r="A266" s="324" t="s">
        <v>192</v>
      </c>
      <c r="B266" s="317" t="s">
        <v>186</v>
      </c>
      <c r="C266" s="303"/>
      <c r="D266" s="303"/>
      <c r="E266" s="303"/>
      <c r="F266" s="320">
        <f t="shared" si="41"/>
        <v>0</v>
      </c>
      <c r="G266" s="311" t="s">
        <v>101</v>
      </c>
      <c r="H266" s="293" t="s">
        <v>380</v>
      </c>
      <c r="I266" s="303"/>
      <c r="J266" s="303"/>
      <c r="K266" s="303"/>
      <c r="L266" s="318">
        <f t="shared" si="40"/>
        <v>0</v>
      </c>
    </row>
    <row r="267" spans="1:12" ht="12.75">
      <c r="A267" s="311" t="s">
        <v>100</v>
      </c>
      <c r="B267" s="296" t="s">
        <v>381</v>
      </c>
      <c r="C267" s="320">
        <f>SUM(C268:C270)</f>
        <v>23539</v>
      </c>
      <c r="D267" s="320">
        <f>SUM(D268:D270)</f>
        <v>0</v>
      </c>
      <c r="E267" s="320">
        <f>SUM(E268:E270)</f>
        <v>0</v>
      </c>
      <c r="F267" s="320">
        <f t="shared" si="41"/>
        <v>23539</v>
      </c>
      <c r="G267" s="311" t="s">
        <v>102</v>
      </c>
      <c r="H267" s="293" t="s">
        <v>382</v>
      </c>
      <c r="I267" s="303">
        <v>0</v>
      </c>
      <c r="J267" s="303">
        <v>0</v>
      </c>
      <c r="K267" s="303">
        <v>0</v>
      </c>
      <c r="L267" s="318">
        <f t="shared" si="40"/>
        <v>0</v>
      </c>
    </row>
    <row r="268" spans="1:12" ht="12.75">
      <c r="A268" s="311" t="s">
        <v>383</v>
      </c>
      <c r="B268" s="293" t="s">
        <v>384</v>
      </c>
      <c r="C268" s="303">
        <v>23454</v>
      </c>
      <c r="D268" s="303"/>
      <c r="E268" s="303"/>
      <c r="F268" s="320">
        <f t="shared" si="41"/>
        <v>23454</v>
      </c>
      <c r="G268" s="311" t="s">
        <v>103</v>
      </c>
      <c r="H268" s="293" t="s">
        <v>385</v>
      </c>
      <c r="I268" s="303">
        <v>0</v>
      </c>
      <c r="J268" s="303">
        <v>0</v>
      </c>
      <c r="K268" s="303">
        <v>0</v>
      </c>
      <c r="L268" s="318">
        <f t="shared" si="40"/>
        <v>0</v>
      </c>
    </row>
    <row r="269" spans="1:12" ht="12.75">
      <c r="A269" s="311" t="s">
        <v>386</v>
      </c>
      <c r="B269" s="293" t="s">
        <v>387</v>
      </c>
      <c r="C269" s="303"/>
      <c r="D269" s="303"/>
      <c r="E269" s="303"/>
      <c r="F269" s="320">
        <f t="shared" si="41"/>
        <v>0</v>
      </c>
      <c r="G269" s="311" t="s">
        <v>104</v>
      </c>
      <c r="H269" s="293" t="s">
        <v>388</v>
      </c>
      <c r="I269" s="303">
        <v>0</v>
      </c>
      <c r="J269" s="303">
        <v>0</v>
      </c>
      <c r="K269" s="303">
        <v>0</v>
      </c>
      <c r="L269" s="318">
        <f t="shared" si="40"/>
        <v>0</v>
      </c>
    </row>
    <row r="270" spans="1:12" ht="12.75">
      <c r="A270" s="311" t="s">
        <v>389</v>
      </c>
      <c r="B270" s="293" t="s">
        <v>390</v>
      </c>
      <c r="C270" s="303">
        <v>85</v>
      </c>
      <c r="D270" s="303"/>
      <c r="E270" s="303"/>
      <c r="F270" s="320">
        <f t="shared" si="41"/>
        <v>85</v>
      </c>
      <c r="G270" s="311"/>
      <c r="H270" s="293"/>
      <c r="I270" s="303"/>
      <c r="J270" s="303"/>
      <c r="K270" s="303"/>
      <c r="L270" s="318">
        <f t="shared" si="40"/>
        <v>0</v>
      </c>
    </row>
    <row r="271" spans="1:12" ht="12.75">
      <c r="A271" s="317" t="s">
        <v>391</v>
      </c>
      <c r="B271" s="317" t="s">
        <v>392</v>
      </c>
      <c r="C271" s="303">
        <v>11100</v>
      </c>
      <c r="D271" s="303"/>
      <c r="E271" s="303"/>
      <c r="F271" s="320">
        <f t="shared" si="41"/>
        <v>11100</v>
      </c>
      <c r="G271" s="317" t="s">
        <v>197</v>
      </c>
      <c r="H271" s="317" t="s">
        <v>393</v>
      </c>
      <c r="I271" s="303"/>
      <c r="J271" s="303"/>
      <c r="K271" s="303"/>
      <c r="L271" s="303"/>
    </row>
    <row r="272" spans="1:12" ht="12.75">
      <c r="A272" s="317" t="s">
        <v>394</v>
      </c>
      <c r="B272" s="317" t="s">
        <v>395</v>
      </c>
      <c r="C272" s="303"/>
      <c r="D272" s="303"/>
      <c r="E272" s="303"/>
      <c r="F272" s="320">
        <f t="shared" si="41"/>
        <v>0</v>
      </c>
      <c r="G272" s="317" t="s">
        <v>198</v>
      </c>
      <c r="H272" s="317" t="s">
        <v>396</v>
      </c>
      <c r="I272" s="303"/>
      <c r="J272" s="303"/>
      <c r="K272" s="303"/>
      <c r="L272" s="303"/>
    </row>
    <row r="273" spans="1:12" ht="12.75">
      <c r="A273" s="311"/>
      <c r="B273" s="293" t="s">
        <v>397</v>
      </c>
      <c r="C273" s="303"/>
      <c r="D273" s="303"/>
      <c r="E273" s="303"/>
      <c r="F273" s="320">
        <f t="shared" si="41"/>
        <v>0</v>
      </c>
      <c r="G273" s="311" t="s">
        <v>100</v>
      </c>
      <c r="H273" s="293" t="s">
        <v>398</v>
      </c>
      <c r="I273" s="303"/>
      <c r="J273" s="303"/>
      <c r="K273" s="303"/>
      <c r="L273" s="303"/>
    </row>
    <row r="274" spans="1:12" ht="12.75">
      <c r="A274" s="317" t="s">
        <v>399</v>
      </c>
      <c r="B274" s="317" t="s">
        <v>400</v>
      </c>
      <c r="C274" s="320">
        <v>0</v>
      </c>
      <c r="D274" s="320">
        <v>0</v>
      </c>
      <c r="E274" s="320">
        <v>0</v>
      </c>
      <c r="F274" s="320">
        <f t="shared" si="41"/>
        <v>0</v>
      </c>
      <c r="G274" s="311" t="s">
        <v>101</v>
      </c>
      <c r="H274" s="293" t="s">
        <v>401</v>
      </c>
      <c r="I274" s="303"/>
      <c r="J274" s="303"/>
      <c r="K274" s="303"/>
      <c r="L274" s="303"/>
    </row>
    <row r="275" spans="1:12" ht="12.75">
      <c r="A275" s="317" t="s">
        <v>198</v>
      </c>
      <c r="B275" s="317" t="s">
        <v>402</v>
      </c>
      <c r="C275" s="303"/>
      <c r="D275" s="303"/>
      <c r="E275" s="303"/>
      <c r="F275" s="320">
        <f t="shared" si="41"/>
        <v>0</v>
      </c>
      <c r="G275" s="311"/>
      <c r="H275" s="293"/>
      <c r="I275" s="303"/>
      <c r="J275" s="303"/>
      <c r="K275" s="303"/>
      <c r="L275" s="303"/>
    </row>
    <row r="276" spans="1:12" ht="12.75">
      <c r="A276" s="311"/>
      <c r="B276" s="301" t="s">
        <v>403</v>
      </c>
      <c r="C276" s="304">
        <f>SUM(C261+C262+C267+C271+C272+C274+C275)</f>
        <v>54332</v>
      </c>
      <c r="D276" s="304">
        <f>SUM(D261+D262+D267+D271+D272+D274+D275)</f>
        <v>0</v>
      </c>
      <c r="E276" s="304">
        <f>SUM(E261+E262+E267+E271+E272+E274+E275)</f>
        <v>0</v>
      </c>
      <c r="F276" s="446">
        <f>SUM(C276:E276)</f>
        <v>54332</v>
      </c>
      <c r="G276" s="311"/>
      <c r="H276" s="301" t="s">
        <v>404</v>
      </c>
      <c r="I276" s="304">
        <f>SUM(I261:I263)</f>
        <v>34578</v>
      </c>
      <c r="J276" s="304">
        <f>SUM(J261:J263)</f>
        <v>0</v>
      </c>
      <c r="K276" s="304">
        <f>SUM(K261:K263)</f>
        <v>0</v>
      </c>
      <c r="L276" s="304">
        <f>SUM(L261:L263)</f>
        <v>34578</v>
      </c>
    </row>
    <row r="277" spans="1:12" ht="12.75">
      <c r="A277" s="311"/>
      <c r="B277" s="327" t="s">
        <v>405</v>
      </c>
      <c r="C277" s="328">
        <f>I278-C276</f>
        <v>489</v>
      </c>
      <c r="D277" s="328">
        <f>J278-D276</f>
        <v>0</v>
      </c>
      <c r="E277" s="328">
        <f>K278-E276</f>
        <v>0</v>
      </c>
      <c r="F277" s="328">
        <f>L278-F276</f>
        <v>489</v>
      </c>
      <c r="G277" s="311"/>
      <c r="H277" s="293" t="s">
        <v>406</v>
      </c>
      <c r="I277" s="328">
        <f>20528-285</f>
        <v>20243</v>
      </c>
      <c r="J277" s="328"/>
      <c r="K277" s="328"/>
      <c r="L277" s="303">
        <f>SUM(I277:K277)</f>
        <v>20243</v>
      </c>
    </row>
    <row r="278" spans="1:12" ht="12.75">
      <c r="A278" s="311"/>
      <c r="B278" s="317" t="s">
        <v>407</v>
      </c>
      <c r="C278" s="303"/>
      <c r="D278" s="303"/>
      <c r="E278" s="303"/>
      <c r="F278" s="303"/>
      <c r="G278" s="311"/>
      <c r="H278" s="301" t="s">
        <v>408</v>
      </c>
      <c r="I278" s="304">
        <f>SUM(I276:I277)</f>
        <v>54821</v>
      </c>
      <c r="J278" s="304">
        <f>SUM(J276:J277)</f>
        <v>0</v>
      </c>
      <c r="K278" s="304">
        <f>SUM(K276:K277)</f>
        <v>0</v>
      </c>
      <c r="L278" s="304">
        <f>SUM(L276:L277)</f>
        <v>54821</v>
      </c>
    </row>
    <row r="279" spans="1:12" ht="12.75">
      <c r="A279" s="317" t="s">
        <v>409</v>
      </c>
      <c r="B279" s="317" t="s">
        <v>410</v>
      </c>
      <c r="C279" s="303"/>
      <c r="D279" s="303"/>
      <c r="E279" s="303"/>
      <c r="F279" s="303"/>
      <c r="G279" s="311"/>
      <c r="H279" s="327" t="s">
        <v>411</v>
      </c>
      <c r="I279" s="303"/>
      <c r="J279" s="303"/>
      <c r="K279" s="303"/>
      <c r="L279" s="303"/>
    </row>
    <row r="280" spans="1:12" ht="12.75">
      <c r="A280" s="317" t="s">
        <v>412</v>
      </c>
      <c r="B280" s="317" t="s">
        <v>413</v>
      </c>
      <c r="C280" s="303"/>
      <c r="D280" s="303"/>
      <c r="E280" s="303"/>
      <c r="F280" s="303"/>
      <c r="G280" s="311"/>
      <c r="H280" s="317" t="s">
        <v>94</v>
      </c>
      <c r="I280" s="303"/>
      <c r="J280" s="303"/>
      <c r="K280" s="303"/>
      <c r="L280" s="303"/>
    </row>
    <row r="281" spans="1:12" ht="12.75">
      <c r="A281" s="317" t="s">
        <v>414</v>
      </c>
      <c r="B281" s="317" t="s">
        <v>415</v>
      </c>
      <c r="C281" s="303"/>
      <c r="D281" s="303"/>
      <c r="E281" s="303"/>
      <c r="F281" s="303"/>
      <c r="G281" s="317" t="s">
        <v>194</v>
      </c>
      <c r="H281" s="317" t="s">
        <v>416</v>
      </c>
      <c r="I281" s="303"/>
      <c r="J281" s="303"/>
      <c r="K281" s="303"/>
      <c r="L281" s="303"/>
    </row>
    <row r="282" spans="1:12" ht="12.75">
      <c r="A282" s="317" t="s">
        <v>417</v>
      </c>
      <c r="B282" s="317" t="s">
        <v>193</v>
      </c>
      <c r="C282" s="303"/>
      <c r="D282" s="303"/>
      <c r="E282" s="303"/>
      <c r="F282" s="303"/>
      <c r="G282" s="317" t="s">
        <v>195</v>
      </c>
      <c r="H282" s="317" t="s">
        <v>377</v>
      </c>
      <c r="I282" s="303"/>
      <c r="J282" s="303"/>
      <c r="K282" s="303"/>
      <c r="L282" s="303"/>
    </row>
    <row r="283" spans="1:12" ht="12.75">
      <c r="A283" s="317" t="s">
        <v>194</v>
      </c>
      <c r="B283" s="317" t="s">
        <v>418</v>
      </c>
      <c r="C283" s="303"/>
      <c r="D283" s="303"/>
      <c r="E283" s="303"/>
      <c r="F283" s="303"/>
      <c r="G283" s="311" t="s">
        <v>100</v>
      </c>
      <c r="H283" s="293" t="s">
        <v>96</v>
      </c>
      <c r="I283" s="303"/>
      <c r="J283" s="303"/>
      <c r="K283" s="303"/>
      <c r="L283" s="303"/>
    </row>
    <row r="284" spans="1:12" ht="12.75">
      <c r="A284" s="311" t="s">
        <v>100</v>
      </c>
      <c r="B284" s="330" t="s">
        <v>419</v>
      </c>
      <c r="C284" s="303"/>
      <c r="D284" s="303"/>
      <c r="E284" s="303"/>
      <c r="F284" s="303"/>
      <c r="G284" s="311" t="s">
        <v>101</v>
      </c>
      <c r="H284" s="293" t="s">
        <v>420</v>
      </c>
      <c r="I284" s="303"/>
      <c r="J284" s="303"/>
      <c r="K284" s="303"/>
      <c r="L284" s="303"/>
    </row>
    <row r="285" spans="1:12" ht="12.75">
      <c r="A285" s="311" t="s">
        <v>101</v>
      </c>
      <c r="B285" s="330" t="s">
        <v>421</v>
      </c>
      <c r="C285" s="303"/>
      <c r="D285" s="303"/>
      <c r="E285" s="303"/>
      <c r="F285" s="303"/>
      <c r="G285" s="317" t="s">
        <v>196</v>
      </c>
      <c r="H285" s="317" t="s">
        <v>422</v>
      </c>
      <c r="I285" s="303"/>
      <c r="J285" s="303"/>
      <c r="K285" s="303"/>
      <c r="L285" s="303"/>
    </row>
    <row r="286" spans="1:12" ht="12.75">
      <c r="A286" s="311" t="s">
        <v>102</v>
      </c>
      <c r="B286" s="330" t="s">
        <v>161</v>
      </c>
      <c r="C286" s="303"/>
      <c r="D286" s="303"/>
      <c r="E286" s="303"/>
      <c r="F286" s="303"/>
      <c r="G286" s="311" t="s">
        <v>100</v>
      </c>
      <c r="H286" s="330" t="s">
        <v>117</v>
      </c>
      <c r="I286" s="303"/>
      <c r="J286" s="303"/>
      <c r="K286" s="303"/>
      <c r="L286" s="303"/>
    </row>
    <row r="287" spans="1:12" ht="12.75">
      <c r="A287" s="317" t="s">
        <v>423</v>
      </c>
      <c r="B287" s="317" t="s">
        <v>424</v>
      </c>
      <c r="C287" s="303"/>
      <c r="D287" s="303"/>
      <c r="E287" s="303"/>
      <c r="F287" s="303"/>
      <c r="G287" s="311" t="s">
        <v>101</v>
      </c>
      <c r="H287" s="330" t="s">
        <v>97</v>
      </c>
      <c r="I287" s="303"/>
      <c r="J287" s="303"/>
      <c r="K287" s="303"/>
      <c r="L287" s="303"/>
    </row>
    <row r="288" spans="1:12" ht="12.75">
      <c r="A288" s="317" t="s">
        <v>425</v>
      </c>
      <c r="B288" s="317" t="s">
        <v>426</v>
      </c>
      <c r="C288" s="303"/>
      <c r="D288" s="303"/>
      <c r="E288" s="303"/>
      <c r="F288" s="303"/>
      <c r="G288" s="311" t="s">
        <v>102</v>
      </c>
      <c r="H288" s="293" t="s">
        <v>163</v>
      </c>
      <c r="I288" s="303"/>
      <c r="J288" s="303"/>
      <c r="K288" s="303"/>
      <c r="L288" s="303"/>
    </row>
    <row r="289" spans="1:12" ht="12.75">
      <c r="A289" s="317" t="s">
        <v>196</v>
      </c>
      <c r="B289" s="317" t="s">
        <v>427</v>
      </c>
      <c r="C289" s="303">
        <v>0</v>
      </c>
      <c r="D289" s="303">
        <v>0</v>
      </c>
      <c r="E289" s="303">
        <v>0</v>
      </c>
      <c r="F289" s="303"/>
      <c r="G289" s="317" t="s">
        <v>197</v>
      </c>
      <c r="H289" s="317" t="s">
        <v>428</v>
      </c>
      <c r="I289" s="303"/>
      <c r="J289" s="303"/>
      <c r="K289" s="303"/>
      <c r="L289" s="303"/>
    </row>
    <row r="290" spans="1:12" ht="12.75">
      <c r="A290" s="317" t="s">
        <v>197</v>
      </c>
      <c r="B290" s="317" t="s">
        <v>428</v>
      </c>
      <c r="C290" s="303">
        <v>0</v>
      </c>
      <c r="D290" s="303">
        <v>0</v>
      </c>
      <c r="E290" s="303">
        <v>0</v>
      </c>
      <c r="F290" s="303"/>
      <c r="G290" s="317" t="s">
        <v>198</v>
      </c>
      <c r="H290" s="317" t="s">
        <v>396</v>
      </c>
      <c r="I290" s="303"/>
      <c r="J290" s="303"/>
      <c r="K290" s="303"/>
      <c r="L290" s="303"/>
    </row>
    <row r="291" spans="1:12" ht="12.75">
      <c r="A291" s="317" t="s">
        <v>198</v>
      </c>
      <c r="B291" s="317" t="s">
        <v>402</v>
      </c>
      <c r="C291" s="303">
        <v>0</v>
      </c>
      <c r="D291" s="303">
        <v>0</v>
      </c>
      <c r="E291" s="303">
        <v>0</v>
      </c>
      <c r="F291" s="303"/>
      <c r="G291" s="311" t="s">
        <v>100</v>
      </c>
      <c r="H291" s="293" t="s">
        <v>398</v>
      </c>
      <c r="I291" s="303"/>
      <c r="J291" s="303"/>
      <c r="K291" s="303"/>
      <c r="L291" s="303"/>
    </row>
    <row r="292" spans="1:12" ht="12.75">
      <c r="A292" s="311"/>
      <c r="B292" s="301" t="s">
        <v>429</v>
      </c>
      <c r="C292" s="304">
        <f>SUM(C289:C291)</f>
        <v>0</v>
      </c>
      <c r="D292" s="304">
        <f>SUM(D289:D291)</f>
        <v>0</v>
      </c>
      <c r="E292" s="304">
        <f>SUM(E289:E291)</f>
        <v>0</v>
      </c>
      <c r="F292" s="304"/>
      <c r="G292" s="311" t="s">
        <v>441</v>
      </c>
      <c r="H292" s="301" t="s">
        <v>430</v>
      </c>
      <c r="I292" s="304">
        <f>SUM(I289:I291)</f>
        <v>0</v>
      </c>
      <c r="J292" s="304">
        <f>SUM(J289:J291)</f>
        <v>0</v>
      </c>
      <c r="K292" s="304">
        <f>SUM(K289:K291)</f>
        <v>0</v>
      </c>
      <c r="L292" s="304"/>
    </row>
    <row r="293" spans="1:12" ht="12.75">
      <c r="A293" s="311"/>
      <c r="B293" s="327" t="s">
        <v>433</v>
      </c>
      <c r="C293" s="328"/>
      <c r="D293" s="328"/>
      <c r="E293" s="328"/>
      <c r="F293" s="447"/>
      <c r="G293" s="311" t="s">
        <v>442</v>
      </c>
      <c r="H293" s="293" t="s">
        <v>434</v>
      </c>
      <c r="I293" s="303">
        <f>C292-I292</f>
        <v>0</v>
      </c>
      <c r="J293" s="303">
        <f>D292-J292</f>
        <v>0</v>
      </c>
      <c r="K293" s="303">
        <f>E292-K292</f>
        <v>0</v>
      </c>
      <c r="L293" s="303"/>
    </row>
    <row r="294" spans="1:12" ht="13.5">
      <c r="A294" s="311"/>
      <c r="B294" s="332" t="s">
        <v>435</v>
      </c>
      <c r="C294" s="333">
        <f>SUM(C293+C277)</f>
        <v>489</v>
      </c>
      <c r="D294" s="333">
        <f>SUM(D293+D277)</f>
        <v>0</v>
      </c>
      <c r="E294" s="333">
        <f>SUM(E293+E277)</f>
        <v>0</v>
      </c>
      <c r="F294" s="333">
        <f>SUM(F293+F277)</f>
        <v>489</v>
      </c>
      <c r="G294" s="311" t="s">
        <v>443</v>
      </c>
      <c r="H294" s="332" t="s">
        <v>436</v>
      </c>
      <c r="I294" s="320"/>
      <c r="J294" s="320"/>
      <c r="K294" s="320"/>
      <c r="L294" s="303"/>
    </row>
    <row r="295" spans="1:12" ht="12.75">
      <c r="A295" s="311"/>
      <c r="B295" s="301" t="s">
        <v>461</v>
      </c>
      <c r="C295" s="304">
        <f>SUM(C292+C276+C294)</f>
        <v>54821</v>
      </c>
      <c r="D295" s="304">
        <f>SUM(D292+D276+D294)</f>
        <v>0</v>
      </c>
      <c r="E295" s="304">
        <f>SUM(E292+E276+E294)</f>
        <v>0</v>
      </c>
      <c r="F295" s="304">
        <f>SUM(F292+F276+F294)</f>
        <v>54821</v>
      </c>
      <c r="G295" s="311" t="s">
        <v>445</v>
      </c>
      <c r="H295" s="301" t="s">
        <v>461</v>
      </c>
      <c r="I295" s="304">
        <f>SUM(I278,I292,I294)</f>
        <v>54821</v>
      </c>
      <c r="J295" s="304">
        <f>SUM(J278,J292,J294)</f>
        <v>0</v>
      </c>
      <c r="K295" s="304">
        <f>SUM(K278,K292,K294)</f>
        <v>0</v>
      </c>
      <c r="L295" s="304">
        <f>SUM(L278,L292,L294)</f>
        <v>54821</v>
      </c>
    </row>
    <row r="296" spans="1:12" ht="12.75" customHeight="1">
      <c r="A296" s="564" t="s">
        <v>462</v>
      </c>
      <c r="B296" s="564"/>
      <c r="C296" s="564"/>
      <c r="D296" s="564"/>
      <c r="E296" s="564"/>
      <c r="F296" s="564"/>
      <c r="G296" s="564"/>
      <c r="H296" s="564"/>
      <c r="I296" s="564"/>
      <c r="J296" s="564"/>
      <c r="K296" s="564"/>
      <c r="L296" s="564"/>
    </row>
    <row r="297" spans="1:12" ht="12.75" customHeight="1">
      <c r="A297" s="564"/>
      <c r="B297" s="564"/>
      <c r="C297" s="564"/>
      <c r="D297" s="564"/>
      <c r="E297" s="564"/>
      <c r="F297" s="564"/>
      <c r="G297" s="564"/>
      <c r="H297" s="564"/>
      <c r="I297" s="564"/>
      <c r="J297" s="564"/>
      <c r="K297" s="564"/>
      <c r="L297" s="564"/>
    </row>
    <row r="298" spans="1:12" ht="15.75">
      <c r="A298" s="315" t="s">
        <v>447</v>
      </c>
      <c r="B298" s="58"/>
      <c r="C298" s="316"/>
      <c r="D298" s="316"/>
      <c r="E298" s="316"/>
      <c r="F298" s="316"/>
      <c r="G298" s="58"/>
      <c r="H298" s="58"/>
      <c r="I298" s="565" t="s">
        <v>364</v>
      </c>
      <c r="J298" s="566"/>
      <c r="K298" s="566"/>
      <c r="L298" s="566"/>
    </row>
    <row r="299" spans="1:12" ht="12.75" customHeight="1">
      <c r="A299" s="567" t="s">
        <v>365</v>
      </c>
      <c r="B299" s="569" t="s">
        <v>142</v>
      </c>
      <c r="C299" s="571" t="s">
        <v>155</v>
      </c>
      <c r="D299" s="571" t="s">
        <v>52</v>
      </c>
      <c r="E299" s="571" t="s">
        <v>53</v>
      </c>
      <c r="F299" s="571" t="s">
        <v>54</v>
      </c>
      <c r="G299" s="567" t="s">
        <v>365</v>
      </c>
      <c r="H299" s="569" t="s">
        <v>369</v>
      </c>
      <c r="I299" s="571" t="s">
        <v>155</v>
      </c>
      <c r="J299" s="571" t="s">
        <v>52</v>
      </c>
      <c r="K299" s="571" t="s">
        <v>53</v>
      </c>
      <c r="L299" s="571" t="s">
        <v>54</v>
      </c>
    </row>
    <row r="300" spans="1:12" ht="12.75" customHeight="1">
      <c r="A300" s="567"/>
      <c r="B300" s="569"/>
      <c r="C300" s="572"/>
      <c r="D300" s="572"/>
      <c r="E300" s="572"/>
      <c r="F300" s="574"/>
      <c r="G300" s="567"/>
      <c r="H300" s="569"/>
      <c r="I300" s="572"/>
      <c r="J300" s="572"/>
      <c r="K300" s="572"/>
      <c r="L300" s="574"/>
    </row>
    <row r="301" spans="1:12" ht="12.75">
      <c r="A301" s="568"/>
      <c r="B301" s="570"/>
      <c r="C301" s="573"/>
      <c r="D301" s="573"/>
      <c r="E301" s="573"/>
      <c r="F301" s="575"/>
      <c r="G301" s="568"/>
      <c r="H301" s="570"/>
      <c r="I301" s="573"/>
      <c r="J301" s="573"/>
      <c r="K301" s="573"/>
      <c r="L301" s="575"/>
    </row>
    <row r="302" spans="1:12" ht="12.75">
      <c r="A302" s="317" t="s">
        <v>88</v>
      </c>
      <c r="B302" s="317" t="s">
        <v>185</v>
      </c>
      <c r="C302" s="318"/>
      <c r="D302" s="318"/>
      <c r="E302" s="318"/>
      <c r="F302" s="318"/>
      <c r="G302" s="317"/>
      <c r="H302" s="317" t="s">
        <v>91</v>
      </c>
      <c r="I302" s="318">
        <f>SUM(I303:I305,I306,I313,I314)</f>
        <v>34485</v>
      </c>
      <c r="J302" s="318">
        <f>SUM(J303:J305,J306,J313,J314)</f>
        <v>0</v>
      </c>
      <c r="K302" s="318">
        <f>SUM(K303:K305,K306,K313,K314)</f>
        <v>0</v>
      </c>
      <c r="L302" s="318">
        <f>SUM(I302:K302)</f>
        <v>34485</v>
      </c>
    </row>
    <row r="303" spans="1:12" ht="12.75">
      <c r="A303" s="311" t="s">
        <v>100</v>
      </c>
      <c r="B303" s="296" t="s">
        <v>370</v>
      </c>
      <c r="C303" s="320">
        <v>0</v>
      </c>
      <c r="D303" s="320">
        <v>0</v>
      </c>
      <c r="E303" s="320">
        <v>0</v>
      </c>
      <c r="F303" s="320"/>
      <c r="G303" s="317" t="s">
        <v>88</v>
      </c>
      <c r="H303" s="317" t="s">
        <v>92</v>
      </c>
      <c r="I303" s="303">
        <v>22927</v>
      </c>
      <c r="J303" s="303"/>
      <c r="K303" s="303"/>
      <c r="L303" s="318">
        <f aca="true" t="shared" si="42" ref="L303:L311">SUM(I303:K303)</f>
        <v>22927</v>
      </c>
    </row>
    <row r="304" spans="1:12" ht="12.75">
      <c r="A304" s="311" t="s">
        <v>101</v>
      </c>
      <c r="B304" s="296" t="s">
        <v>371</v>
      </c>
      <c r="C304" s="320">
        <v>0</v>
      </c>
      <c r="D304" s="320">
        <v>0</v>
      </c>
      <c r="E304" s="320">
        <v>0</v>
      </c>
      <c r="F304" s="320"/>
      <c r="G304" s="317" t="s">
        <v>372</v>
      </c>
      <c r="H304" s="317" t="s">
        <v>93</v>
      </c>
      <c r="I304" s="303">
        <v>7649</v>
      </c>
      <c r="J304" s="303"/>
      <c r="K304" s="303"/>
      <c r="L304" s="318">
        <f t="shared" si="42"/>
        <v>7649</v>
      </c>
    </row>
    <row r="305" spans="1:12" ht="12.75">
      <c r="A305" s="323" t="s">
        <v>373</v>
      </c>
      <c r="B305" s="293" t="s">
        <v>374</v>
      </c>
      <c r="C305" s="303">
        <v>0</v>
      </c>
      <c r="D305" s="303">
        <v>0</v>
      </c>
      <c r="E305" s="303">
        <v>0</v>
      </c>
      <c r="F305" s="303"/>
      <c r="G305" s="317" t="s">
        <v>194</v>
      </c>
      <c r="H305" s="317" t="s">
        <v>269</v>
      </c>
      <c r="I305" s="303">
        <v>2621</v>
      </c>
      <c r="J305" s="303"/>
      <c r="K305" s="303"/>
      <c r="L305" s="318">
        <f t="shared" si="42"/>
        <v>2621</v>
      </c>
    </row>
    <row r="306" spans="1:12" ht="12.75">
      <c r="A306" s="323" t="s">
        <v>375</v>
      </c>
      <c r="B306" s="293" t="s">
        <v>376</v>
      </c>
      <c r="C306" s="303">
        <v>0</v>
      </c>
      <c r="D306" s="303">
        <v>0</v>
      </c>
      <c r="E306" s="303">
        <v>0</v>
      </c>
      <c r="F306" s="303"/>
      <c r="G306" s="317" t="s">
        <v>195</v>
      </c>
      <c r="H306" s="317" t="s">
        <v>377</v>
      </c>
      <c r="I306" s="303">
        <f>SUM(I307:I311)</f>
        <v>1288</v>
      </c>
      <c r="J306" s="303"/>
      <c r="K306" s="303"/>
      <c r="L306" s="318">
        <f t="shared" si="42"/>
        <v>1288</v>
      </c>
    </row>
    <row r="307" spans="1:12" ht="12.75">
      <c r="A307" s="323" t="s">
        <v>378</v>
      </c>
      <c r="B307" s="293" t="s">
        <v>379</v>
      </c>
      <c r="C307" s="303"/>
      <c r="D307" s="303"/>
      <c r="E307" s="303"/>
      <c r="F307" s="303"/>
      <c r="G307" s="311" t="s">
        <v>100</v>
      </c>
      <c r="H307" s="293" t="s">
        <v>96</v>
      </c>
      <c r="I307" s="303">
        <v>1288</v>
      </c>
      <c r="J307" s="303"/>
      <c r="K307" s="303"/>
      <c r="L307" s="318">
        <f t="shared" si="42"/>
        <v>1288</v>
      </c>
    </row>
    <row r="308" spans="1:12" ht="12.75">
      <c r="A308" s="324" t="s">
        <v>192</v>
      </c>
      <c r="B308" s="317" t="s">
        <v>186</v>
      </c>
      <c r="C308" s="303"/>
      <c r="D308" s="303"/>
      <c r="E308" s="303"/>
      <c r="F308" s="303"/>
      <c r="G308" s="311" t="s">
        <v>101</v>
      </c>
      <c r="H308" s="293" t="s">
        <v>380</v>
      </c>
      <c r="I308" s="303"/>
      <c r="J308" s="303"/>
      <c r="K308" s="303"/>
      <c r="L308" s="318">
        <f t="shared" si="42"/>
        <v>0</v>
      </c>
    </row>
    <row r="309" spans="1:12" ht="12.75">
      <c r="A309" s="311" t="s">
        <v>100</v>
      </c>
      <c r="B309" s="296" t="s">
        <v>381</v>
      </c>
      <c r="C309" s="320">
        <f>SUM(C310:C312)</f>
        <v>20454</v>
      </c>
      <c r="D309" s="320">
        <f>SUM(D310:D312)</f>
        <v>0</v>
      </c>
      <c r="E309" s="320">
        <f>SUM(E310:E312)</f>
        <v>0</v>
      </c>
      <c r="F309" s="320">
        <f>SUM(F310:F312)</f>
        <v>20454</v>
      </c>
      <c r="G309" s="311" t="s">
        <v>102</v>
      </c>
      <c r="H309" s="293" t="s">
        <v>382</v>
      </c>
      <c r="I309" s="303">
        <v>0</v>
      </c>
      <c r="J309" s="303">
        <v>0</v>
      </c>
      <c r="K309" s="303">
        <v>0</v>
      </c>
      <c r="L309" s="318">
        <f t="shared" si="42"/>
        <v>0</v>
      </c>
    </row>
    <row r="310" spans="1:12" ht="12.75">
      <c r="A310" s="311" t="s">
        <v>383</v>
      </c>
      <c r="B310" s="293" t="s">
        <v>384</v>
      </c>
      <c r="C310" s="303">
        <v>20360</v>
      </c>
      <c r="D310" s="303"/>
      <c r="E310" s="303"/>
      <c r="F310" s="303">
        <f>SUM(C310:E310)</f>
        <v>20360</v>
      </c>
      <c r="G310" s="311" t="s">
        <v>103</v>
      </c>
      <c r="H310" s="293" t="s">
        <v>385</v>
      </c>
      <c r="I310" s="303">
        <v>0</v>
      </c>
      <c r="J310" s="303">
        <v>0</v>
      </c>
      <c r="K310" s="303">
        <v>0</v>
      </c>
      <c r="L310" s="318">
        <f t="shared" si="42"/>
        <v>0</v>
      </c>
    </row>
    <row r="311" spans="1:12" ht="12.75">
      <c r="A311" s="311" t="s">
        <v>386</v>
      </c>
      <c r="B311" s="293" t="s">
        <v>387</v>
      </c>
      <c r="C311" s="303"/>
      <c r="D311" s="303"/>
      <c r="E311" s="303"/>
      <c r="F311" s="303">
        <f aca="true" t="shared" si="43" ref="F311:F316">SUM(C311:E311)</f>
        <v>0</v>
      </c>
      <c r="G311" s="311" t="s">
        <v>104</v>
      </c>
      <c r="H311" s="293" t="s">
        <v>388</v>
      </c>
      <c r="I311" s="303">
        <v>0</v>
      </c>
      <c r="J311" s="303">
        <v>0</v>
      </c>
      <c r="K311" s="303">
        <v>0</v>
      </c>
      <c r="L311" s="318">
        <f t="shared" si="42"/>
        <v>0</v>
      </c>
    </row>
    <row r="312" spans="1:12" ht="12.75">
      <c r="A312" s="311" t="s">
        <v>389</v>
      </c>
      <c r="B312" s="293" t="s">
        <v>390</v>
      </c>
      <c r="C312" s="303">
        <v>94</v>
      </c>
      <c r="D312" s="303"/>
      <c r="E312" s="303"/>
      <c r="F312" s="303">
        <f t="shared" si="43"/>
        <v>94</v>
      </c>
      <c r="G312" s="311"/>
      <c r="H312" s="293"/>
      <c r="I312" s="303"/>
      <c r="J312" s="303"/>
      <c r="K312" s="303"/>
      <c r="L312" s="303"/>
    </row>
    <row r="313" spans="1:12" ht="12.75">
      <c r="A313" s="317" t="s">
        <v>391</v>
      </c>
      <c r="B313" s="317" t="s">
        <v>392</v>
      </c>
      <c r="C313" s="303">
        <v>11674</v>
      </c>
      <c r="D313" s="303"/>
      <c r="E313" s="303"/>
      <c r="F313" s="303">
        <f t="shared" si="43"/>
        <v>11674</v>
      </c>
      <c r="G313" s="317" t="s">
        <v>197</v>
      </c>
      <c r="H313" s="317" t="s">
        <v>393</v>
      </c>
      <c r="I313" s="303"/>
      <c r="J313" s="303"/>
      <c r="K313" s="303"/>
      <c r="L313" s="303"/>
    </row>
    <row r="314" spans="1:12" ht="12.75">
      <c r="A314" s="317" t="s">
        <v>394</v>
      </c>
      <c r="B314" s="317" t="s">
        <v>395</v>
      </c>
      <c r="C314" s="303"/>
      <c r="D314" s="303"/>
      <c r="E314" s="303"/>
      <c r="F314" s="303">
        <f t="shared" si="43"/>
        <v>0</v>
      </c>
      <c r="G314" s="317" t="s">
        <v>198</v>
      </c>
      <c r="H314" s="317" t="s">
        <v>396</v>
      </c>
      <c r="I314" s="303"/>
      <c r="J314" s="303"/>
      <c r="K314" s="303"/>
      <c r="L314" s="303"/>
    </row>
    <row r="315" spans="1:12" ht="12.75">
      <c r="A315" s="311"/>
      <c r="B315" s="293" t="s">
        <v>397</v>
      </c>
      <c r="C315" s="303"/>
      <c r="D315" s="303"/>
      <c r="E315" s="303"/>
      <c r="F315" s="303">
        <f t="shared" si="43"/>
        <v>0</v>
      </c>
      <c r="G315" s="311" t="s">
        <v>100</v>
      </c>
      <c r="H315" s="293" t="s">
        <v>398</v>
      </c>
      <c r="I315" s="303"/>
      <c r="J315" s="303"/>
      <c r="K315" s="303"/>
      <c r="L315" s="303"/>
    </row>
    <row r="316" spans="1:12" ht="12.75">
      <c r="A316" s="317" t="s">
        <v>399</v>
      </c>
      <c r="B316" s="317" t="s">
        <v>400</v>
      </c>
      <c r="C316" s="320">
        <v>0</v>
      </c>
      <c r="D316" s="320">
        <v>0</v>
      </c>
      <c r="E316" s="320">
        <v>0</v>
      </c>
      <c r="F316" s="303">
        <f t="shared" si="43"/>
        <v>0</v>
      </c>
      <c r="G316" s="311" t="s">
        <v>101</v>
      </c>
      <c r="H316" s="293" t="s">
        <v>401</v>
      </c>
      <c r="I316" s="303"/>
      <c r="J316" s="303"/>
      <c r="K316" s="303"/>
      <c r="L316" s="303"/>
    </row>
    <row r="317" spans="1:12" ht="12.75">
      <c r="A317" s="317" t="s">
        <v>198</v>
      </c>
      <c r="B317" s="317" t="s">
        <v>402</v>
      </c>
      <c r="C317" s="303"/>
      <c r="D317" s="303"/>
      <c r="E317" s="303"/>
      <c r="F317" s="303"/>
      <c r="G317" s="311"/>
      <c r="H317" s="293"/>
      <c r="I317" s="303"/>
      <c r="J317" s="303"/>
      <c r="K317" s="303"/>
      <c r="L317" s="303"/>
    </row>
    <row r="318" spans="1:12" ht="12.75">
      <c r="A318" s="311"/>
      <c r="B318" s="301" t="s">
        <v>403</v>
      </c>
      <c r="C318" s="304">
        <f>SUM(C303+C304+C309+C313+C314+C316+C317)</f>
        <v>32128</v>
      </c>
      <c r="D318" s="304">
        <f>SUM(D303+D304+D309+D313+D314+D316+D317)</f>
        <v>0</v>
      </c>
      <c r="E318" s="304">
        <f>SUM(E303+E304+E309+E313+E314+E316+E317)</f>
        <v>0</v>
      </c>
      <c r="F318" s="304">
        <f>SUM(F303+F304+F309+F313+F314+F316+F317)</f>
        <v>32128</v>
      </c>
      <c r="G318" s="311"/>
      <c r="H318" s="301" t="s">
        <v>404</v>
      </c>
      <c r="I318" s="304">
        <f>SUM(I303:I306)</f>
        <v>34485</v>
      </c>
      <c r="J318" s="304">
        <f>SUM(J303:J306)</f>
        <v>0</v>
      </c>
      <c r="K318" s="304">
        <f>SUM(K303:K306)</f>
        <v>0</v>
      </c>
      <c r="L318" s="304">
        <f>SUM(L303:L306)</f>
        <v>34485</v>
      </c>
    </row>
    <row r="319" spans="1:12" ht="12.75">
      <c r="A319" s="311"/>
      <c r="B319" s="327" t="s">
        <v>405</v>
      </c>
      <c r="C319" s="328">
        <f>I318-C318</f>
        <v>2357</v>
      </c>
      <c r="D319" s="328">
        <f>J318-D318</f>
        <v>0</v>
      </c>
      <c r="E319" s="328">
        <f>K318-E318</f>
        <v>0</v>
      </c>
      <c r="F319" s="328">
        <f>L318-F318</f>
        <v>2357</v>
      </c>
      <c r="G319" s="311"/>
      <c r="H319" s="293" t="s">
        <v>406</v>
      </c>
      <c r="I319" s="328"/>
      <c r="J319" s="328"/>
      <c r="K319" s="328"/>
      <c r="L319" s="303"/>
    </row>
    <row r="320" spans="1:12" ht="12.75">
      <c r="A320" s="311"/>
      <c r="B320" s="317" t="s">
        <v>407</v>
      </c>
      <c r="C320" s="303"/>
      <c r="D320" s="303"/>
      <c r="E320" s="303"/>
      <c r="F320" s="303"/>
      <c r="G320" s="311"/>
      <c r="H320" s="301" t="s">
        <v>408</v>
      </c>
      <c r="I320" s="304">
        <f>SUM(I318:I319)</f>
        <v>34485</v>
      </c>
      <c r="J320" s="304">
        <f>SUM(J318:J319)</f>
        <v>0</v>
      </c>
      <c r="K320" s="304">
        <f>SUM(K318:K319)</f>
        <v>0</v>
      </c>
      <c r="L320" s="304">
        <f>SUM(L318:L319)</f>
        <v>34485</v>
      </c>
    </row>
    <row r="321" spans="1:12" ht="12.75">
      <c r="A321" s="317" t="s">
        <v>409</v>
      </c>
      <c r="B321" s="317" t="s">
        <v>410</v>
      </c>
      <c r="C321" s="303"/>
      <c r="D321" s="303"/>
      <c r="E321" s="303"/>
      <c r="F321" s="303"/>
      <c r="G321" s="311"/>
      <c r="H321" s="327" t="s">
        <v>411</v>
      </c>
      <c r="I321" s="303"/>
      <c r="J321" s="303"/>
      <c r="K321" s="303"/>
      <c r="L321" s="303"/>
    </row>
    <row r="322" spans="1:12" ht="12.75">
      <c r="A322" s="317" t="s">
        <v>412</v>
      </c>
      <c r="B322" s="317" t="s">
        <v>413</v>
      </c>
      <c r="C322" s="303"/>
      <c r="D322" s="303"/>
      <c r="E322" s="303"/>
      <c r="F322" s="303"/>
      <c r="G322" s="311"/>
      <c r="H322" s="317" t="s">
        <v>94</v>
      </c>
      <c r="I322" s="303"/>
      <c r="J322" s="303"/>
      <c r="K322" s="303"/>
      <c r="L322" s="303"/>
    </row>
    <row r="323" spans="1:12" ht="12.75">
      <c r="A323" s="317" t="s">
        <v>414</v>
      </c>
      <c r="B323" s="317" t="s">
        <v>415</v>
      </c>
      <c r="C323" s="303"/>
      <c r="D323" s="303"/>
      <c r="E323" s="303"/>
      <c r="F323" s="303"/>
      <c r="G323" s="317" t="s">
        <v>194</v>
      </c>
      <c r="H323" s="317" t="s">
        <v>416</v>
      </c>
      <c r="I323" s="303"/>
      <c r="J323" s="303"/>
      <c r="K323" s="303"/>
      <c r="L323" s="303"/>
    </row>
    <row r="324" spans="1:12" ht="12.75">
      <c r="A324" s="317" t="s">
        <v>417</v>
      </c>
      <c r="B324" s="317" t="s">
        <v>193</v>
      </c>
      <c r="C324" s="303"/>
      <c r="D324" s="303"/>
      <c r="E324" s="303"/>
      <c r="F324" s="303"/>
      <c r="G324" s="317" t="s">
        <v>195</v>
      </c>
      <c r="H324" s="317" t="s">
        <v>377</v>
      </c>
      <c r="I324" s="303"/>
      <c r="J324" s="303"/>
      <c r="K324" s="303"/>
      <c r="L324" s="303"/>
    </row>
    <row r="325" spans="1:12" ht="12.75">
      <c r="A325" s="317" t="s">
        <v>194</v>
      </c>
      <c r="B325" s="317" t="s">
        <v>418</v>
      </c>
      <c r="C325" s="303"/>
      <c r="D325" s="303"/>
      <c r="E325" s="303"/>
      <c r="F325" s="303"/>
      <c r="G325" s="311" t="s">
        <v>100</v>
      </c>
      <c r="H325" s="293" t="s">
        <v>96</v>
      </c>
      <c r="I325" s="303"/>
      <c r="J325" s="303"/>
      <c r="K325" s="303"/>
      <c r="L325" s="303"/>
    </row>
    <row r="326" spans="1:12" ht="12.75">
      <c r="A326" s="311" t="s">
        <v>100</v>
      </c>
      <c r="B326" s="330" t="s">
        <v>419</v>
      </c>
      <c r="C326" s="303"/>
      <c r="D326" s="303"/>
      <c r="E326" s="303"/>
      <c r="F326" s="303"/>
      <c r="G326" s="311" t="s">
        <v>101</v>
      </c>
      <c r="H326" s="293" t="s">
        <v>420</v>
      </c>
      <c r="I326" s="303"/>
      <c r="J326" s="303"/>
      <c r="K326" s="303"/>
      <c r="L326" s="303"/>
    </row>
    <row r="327" spans="1:12" ht="12.75">
      <c r="A327" s="311" t="s">
        <v>101</v>
      </c>
      <c r="B327" s="330" t="s">
        <v>421</v>
      </c>
      <c r="C327" s="303"/>
      <c r="D327" s="303"/>
      <c r="E327" s="303"/>
      <c r="F327" s="303"/>
      <c r="G327" s="317" t="s">
        <v>196</v>
      </c>
      <c r="H327" s="317" t="s">
        <v>422</v>
      </c>
      <c r="I327" s="303"/>
      <c r="J327" s="303"/>
      <c r="K327" s="303"/>
      <c r="L327" s="303"/>
    </row>
    <row r="328" spans="1:12" ht="12.75">
      <c r="A328" s="311" t="s">
        <v>102</v>
      </c>
      <c r="B328" s="330" t="s">
        <v>161</v>
      </c>
      <c r="C328" s="303"/>
      <c r="D328" s="303"/>
      <c r="E328" s="303"/>
      <c r="F328" s="303"/>
      <c r="G328" s="311" t="s">
        <v>100</v>
      </c>
      <c r="H328" s="330" t="s">
        <v>117</v>
      </c>
      <c r="I328" s="303"/>
      <c r="J328" s="303"/>
      <c r="K328" s="303"/>
      <c r="L328" s="303"/>
    </row>
    <row r="329" spans="1:12" ht="12.75">
      <c r="A329" s="317" t="s">
        <v>423</v>
      </c>
      <c r="B329" s="317" t="s">
        <v>424</v>
      </c>
      <c r="C329" s="303"/>
      <c r="D329" s="303"/>
      <c r="E329" s="303"/>
      <c r="F329" s="303"/>
      <c r="G329" s="311" t="s">
        <v>101</v>
      </c>
      <c r="H329" s="330" t="s">
        <v>97</v>
      </c>
      <c r="I329" s="303"/>
      <c r="J329" s="303"/>
      <c r="K329" s="303"/>
      <c r="L329" s="303"/>
    </row>
    <row r="330" spans="1:12" ht="12.75">
      <c r="A330" s="317" t="s">
        <v>425</v>
      </c>
      <c r="B330" s="317" t="s">
        <v>426</v>
      </c>
      <c r="C330" s="303"/>
      <c r="D330" s="303"/>
      <c r="E330" s="303"/>
      <c r="F330" s="303"/>
      <c r="G330" s="311" t="s">
        <v>102</v>
      </c>
      <c r="H330" s="293" t="s">
        <v>163</v>
      </c>
      <c r="I330" s="303"/>
      <c r="J330" s="303"/>
      <c r="K330" s="303"/>
      <c r="L330" s="303"/>
    </row>
    <row r="331" spans="1:12" ht="12.75">
      <c r="A331" s="317" t="s">
        <v>196</v>
      </c>
      <c r="B331" s="317" t="s">
        <v>427</v>
      </c>
      <c r="C331" s="303">
        <v>0</v>
      </c>
      <c r="D331" s="303">
        <v>0</v>
      </c>
      <c r="E331" s="303">
        <v>0</v>
      </c>
      <c r="F331" s="303"/>
      <c r="G331" s="317" t="s">
        <v>197</v>
      </c>
      <c r="H331" s="317" t="s">
        <v>428</v>
      </c>
      <c r="I331" s="303"/>
      <c r="J331" s="303"/>
      <c r="K331" s="303"/>
      <c r="L331" s="303"/>
    </row>
    <row r="332" spans="1:12" ht="12.75">
      <c r="A332" s="317" t="s">
        <v>197</v>
      </c>
      <c r="B332" s="317" t="s">
        <v>428</v>
      </c>
      <c r="C332" s="303">
        <v>0</v>
      </c>
      <c r="D332" s="303">
        <v>0</v>
      </c>
      <c r="E332" s="303">
        <v>0</v>
      </c>
      <c r="F332" s="303"/>
      <c r="G332" s="317" t="s">
        <v>198</v>
      </c>
      <c r="H332" s="317" t="s">
        <v>396</v>
      </c>
      <c r="I332" s="303"/>
      <c r="J332" s="303"/>
      <c r="K332" s="303"/>
      <c r="L332" s="303"/>
    </row>
    <row r="333" spans="1:12" ht="12.75">
      <c r="A333" s="317" t="s">
        <v>198</v>
      </c>
      <c r="B333" s="317" t="s">
        <v>402</v>
      </c>
      <c r="C333" s="303">
        <v>0</v>
      </c>
      <c r="D333" s="303">
        <v>0</v>
      </c>
      <c r="E333" s="303">
        <v>0</v>
      </c>
      <c r="F333" s="303"/>
      <c r="G333" s="311" t="s">
        <v>100</v>
      </c>
      <c r="H333" s="293" t="s">
        <v>398</v>
      </c>
      <c r="I333" s="303"/>
      <c r="J333" s="303"/>
      <c r="K333" s="303"/>
      <c r="L333" s="303"/>
    </row>
    <row r="334" spans="1:12" ht="12.75">
      <c r="A334" s="311"/>
      <c r="B334" s="301" t="s">
        <v>429</v>
      </c>
      <c r="C334" s="304">
        <f>SUM(C331:C333)</f>
        <v>0</v>
      </c>
      <c r="D334" s="304">
        <f>SUM(D331:D333)</f>
        <v>0</v>
      </c>
      <c r="E334" s="304">
        <f>SUM(E331:E333)</f>
        <v>0</v>
      </c>
      <c r="F334" s="304">
        <f>SUM(F331:F333)</f>
        <v>0</v>
      </c>
      <c r="G334" s="311" t="s">
        <v>441</v>
      </c>
      <c r="H334" s="301" t="s">
        <v>430</v>
      </c>
      <c r="I334" s="304">
        <f>SUM(I331:I333)</f>
        <v>0</v>
      </c>
      <c r="J334" s="304">
        <f>SUM(J331:J333)</f>
        <v>0</v>
      </c>
      <c r="K334" s="304">
        <f>SUM(K331:K333)</f>
        <v>0</v>
      </c>
      <c r="L334" s="304"/>
    </row>
    <row r="335" spans="1:12" ht="12.75">
      <c r="A335" s="311"/>
      <c r="B335" s="327" t="s">
        <v>433</v>
      </c>
      <c r="C335" s="328"/>
      <c r="D335" s="328"/>
      <c r="E335" s="328"/>
      <c r="F335" s="447"/>
      <c r="G335" s="311" t="s">
        <v>442</v>
      </c>
      <c r="H335" s="293" t="s">
        <v>434</v>
      </c>
      <c r="I335" s="303">
        <f>C334-I334</f>
        <v>0</v>
      </c>
      <c r="J335" s="303">
        <f>D334-J334</f>
        <v>0</v>
      </c>
      <c r="K335" s="303">
        <f>E334-K334</f>
        <v>0</v>
      </c>
      <c r="L335" s="303"/>
    </row>
    <row r="336" spans="1:12" ht="13.5">
      <c r="A336" s="311"/>
      <c r="B336" s="332" t="s">
        <v>435</v>
      </c>
      <c r="C336" s="333">
        <f>SUM(C335+C319)</f>
        <v>2357</v>
      </c>
      <c r="D336" s="333">
        <f>SUM(D335+D319)</f>
        <v>0</v>
      </c>
      <c r="E336" s="333">
        <f>SUM(E335+E319)</f>
        <v>0</v>
      </c>
      <c r="F336" s="333">
        <f>SUM(F335+F319)</f>
        <v>2357</v>
      </c>
      <c r="G336" s="311" t="s">
        <v>443</v>
      </c>
      <c r="H336" s="332" t="s">
        <v>436</v>
      </c>
      <c r="I336" s="320">
        <f>SUM(I319,I335)</f>
        <v>0</v>
      </c>
      <c r="J336" s="320">
        <f>SUM(J319,J335)</f>
        <v>0</v>
      </c>
      <c r="K336" s="320">
        <f>SUM(K319,K335)</f>
        <v>0</v>
      </c>
      <c r="L336" s="303"/>
    </row>
    <row r="337" spans="1:12" ht="12.75">
      <c r="A337" s="311"/>
      <c r="B337" s="301" t="s">
        <v>464</v>
      </c>
      <c r="C337" s="304">
        <f>SUM(C334+C318+C336)</f>
        <v>34485</v>
      </c>
      <c r="D337" s="304">
        <f>SUM(D334+D318+D336)</f>
        <v>0</v>
      </c>
      <c r="E337" s="304">
        <f>SUM(E334+E318+E336)</f>
        <v>0</v>
      </c>
      <c r="F337" s="304">
        <f>SUM(F334+F318+F336)</f>
        <v>34485</v>
      </c>
      <c r="G337" s="311" t="s">
        <v>445</v>
      </c>
      <c r="H337" s="301" t="s">
        <v>464</v>
      </c>
      <c r="I337" s="304">
        <f>SUM(I320,I334,I336)</f>
        <v>34485</v>
      </c>
      <c r="J337" s="304">
        <f>SUM(J320,J334,J336)</f>
        <v>0</v>
      </c>
      <c r="K337" s="304">
        <f>SUM(K320,K334,K336)</f>
        <v>0</v>
      </c>
      <c r="L337" s="304">
        <f>SUM(L320,L334,L336)</f>
        <v>34485</v>
      </c>
    </row>
    <row r="338" spans="1:12" ht="12.75" customHeight="1">
      <c r="A338" s="564" t="s">
        <v>465</v>
      </c>
      <c r="B338" s="564"/>
      <c r="C338" s="564"/>
      <c r="D338" s="564"/>
      <c r="E338" s="564"/>
      <c r="F338" s="564"/>
      <c r="G338" s="564"/>
      <c r="H338" s="564"/>
      <c r="I338" s="564"/>
      <c r="J338" s="564"/>
      <c r="K338" s="564"/>
      <c r="L338" s="564"/>
    </row>
    <row r="339" spans="1:12" ht="12.75" customHeight="1">
      <c r="A339" s="564"/>
      <c r="B339" s="564"/>
      <c r="C339" s="564"/>
      <c r="D339" s="564"/>
      <c r="E339" s="564"/>
      <c r="F339" s="564"/>
      <c r="G339" s="564"/>
      <c r="H339" s="564"/>
      <c r="I339" s="564"/>
      <c r="J339" s="564"/>
      <c r="K339" s="564"/>
      <c r="L339" s="564"/>
    </row>
    <row r="340" spans="1:12" ht="15.75">
      <c r="A340" s="315" t="s">
        <v>447</v>
      </c>
      <c r="B340" s="58"/>
      <c r="C340" s="316"/>
      <c r="D340" s="316"/>
      <c r="E340" s="316"/>
      <c r="F340" s="316"/>
      <c r="G340" s="58"/>
      <c r="H340" s="58"/>
      <c r="I340" s="565" t="s">
        <v>364</v>
      </c>
      <c r="J340" s="566"/>
      <c r="K340" s="566"/>
      <c r="L340" s="566"/>
    </row>
    <row r="341" spans="1:12" ht="12.75" customHeight="1">
      <c r="A341" s="567" t="s">
        <v>365</v>
      </c>
      <c r="B341" s="569" t="s">
        <v>142</v>
      </c>
      <c r="C341" s="571" t="s">
        <v>155</v>
      </c>
      <c r="D341" s="571" t="s">
        <v>52</v>
      </c>
      <c r="E341" s="571" t="s">
        <v>53</v>
      </c>
      <c r="F341" s="571" t="s">
        <v>54</v>
      </c>
      <c r="G341" s="567" t="s">
        <v>365</v>
      </c>
      <c r="H341" s="569" t="s">
        <v>369</v>
      </c>
      <c r="I341" s="571" t="s">
        <v>155</v>
      </c>
      <c r="J341" s="571" t="s">
        <v>52</v>
      </c>
      <c r="K341" s="571" t="s">
        <v>53</v>
      </c>
      <c r="L341" s="571" t="s">
        <v>54</v>
      </c>
    </row>
    <row r="342" spans="1:12" ht="12.75" customHeight="1">
      <c r="A342" s="567"/>
      <c r="B342" s="569"/>
      <c r="C342" s="572"/>
      <c r="D342" s="572"/>
      <c r="E342" s="572"/>
      <c r="F342" s="574"/>
      <c r="G342" s="567"/>
      <c r="H342" s="569"/>
      <c r="I342" s="572"/>
      <c r="J342" s="572"/>
      <c r="K342" s="572"/>
      <c r="L342" s="574"/>
    </row>
    <row r="343" spans="1:12" ht="12.75">
      <c r="A343" s="568"/>
      <c r="B343" s="570"/>
      <c r="C343" s="573"/>
      <c r="D343" s="573"/>
      <c r="E343" s="573"/>
      <c r="F343" s="575"/>
      <c r="G343" s="568"/>
      <c r="H343" s="570"/>
      <c r="I343" s="573"/>
      <c r="J343" s="573"/>
      <c r="K343" s="573"/>
      <c r="L343" s="575"/>
    </row>
    <row r="344" spans="1:12" ht="12.75">
      <c r="A344" s="317" t="s">
        <v>88</v>
      </c>
      <c r="B344" s="317" t="s">
        <v>185</v>
      </c>
      <c r="C344" s="318"/>
      <c r="D344" s="318"/>
      <c r="E344" s="318"/>
      <c r="F344" s="318"/>
      <c r="G344" s="317"/>
      <c r="H344" s="317" t="s">
        <v>91</v>
      </c>
      <c r="I344" s="318">
        <f>SUM(I345:I347,I348,I355,I356)</f>
        <v>34523</v>
      </c>
      <c r="J344" s="318">
        <f>SUM(J345:J347,J348,J355,J356)</f>
        <v>0</v>
      </c>
      <c r="K344" s="318">
        <f>SUM(K345:K347,K348,K355,K356)</f>
        <v>0</v>
      </c>
      <c r="L344" s="318">
        <f>SUM(I344:K344)</f>
        <v>34523</v>
      </c>
    </row>
    <row r="345" spans="1:12" ht="12.75">
      <c r="A345" s="311" t="s">
        <v>100</v>
      </c>
      <c r="B345" s="296" t="s">
        <v>370</v>
      </c>
      <c r="C345" s="320">
        <v>980</v>
      </c>
      <c r="D345" s="320">
        <v>-880</v>
      </c>
      <c r="E345" s="320"/>
      <c r="F345" s="320">
        <f>SUM(C345:E345)</f>
        <v>100</v>
      </c>
      <c r="G345" s="317" t="s">
        <v>88</v>
      </c>
      <c r="H345" s="317" t="s">
        <v>92</v>
      </c>
      <c r="I345" s="303">
        <v>8753</v>
      </c>
      <c r="J345" s="303"/>
      <c r="K345" s="303"/>
      <c r="L345" s="318">
        <f aca="true" t="shared" si="44" ref="L345:L353">SUM(I345:K345)</f>
        <v>8753</v>
      </c>
    </row>
    <row r="346" spans="1:12" ht="12.75">
      <c r="A346" s="311" t="s">
        <v>101</v>
      </c>
      <c r="B346" s="296" t="s">
        <v>371</v>
      </c>
      <c r="C346" s="320">
        <v>0</v>
      </c>
      <c r="D346" s="320">
        <v>0</v>
      </c>
      <c r="E346" s="320">
        <v>0</v>
      </c>
      <c r="F346" s="320">
        <f aca="true" t="shared" si="45" ref="F346:F352">SUM(C346:E346)</f>
        <v>0</v>
      </c>
      <c r="G346" s="317" t="s">
        <v>372</v>
      </c>
      <c r="H346" s="317" t="s">
        <v>93</v>
      </c>
      <c r="I346" s="303">
        <v>2891</v>
      </c>
      <c r="J346" s="303"/>
      <c r="K346" s="303"/>
      <c r="L346" s="318">
        <f t="shared" si="44"/>
        <v>2891</v>
      </c>
    </row>
    <row r="347" spans="1:12" ht="12.75">
      <c r="A347" s="323" t="s">
        <v>373</v>
      </c>
      <c r="B347" s="293" t="s">
        <v>374</v>
      </c>
      <c r="C347" s="303">
        <v>0</v>
      </c>
      <c r="D347" s="303">
        <v>0</v>
      </c>
      <c r="E347" s="303">
        <v>0</v>
      </c>
      <c r="F347" s="320">
        <f t="shared" si="45"/>
        <v>0</v>
      </c>
      <c r="G347" s="317" t="s">
        <v>194</v>
      </c>
      <c r="H347" s="317" t="s">
        <v>269</v>
      </c>
      <c r="I347" s="303">
        <v>22879</v>
      </c>
      <c r="J347" s="303"/>
      <c r="K347" s="303"/>
      <c r="L347" s="318">
        <f t="shared" si="44"/>
        <v>22879</v>
      </c>
    </row>
    <row r="348" spans="1:12" ht="12.75">
      <c r="A348" s="323" t="s">
        <v>375</v>
      </c>
      <c r="B348" s="293" t="s">
        <v>376</v>
      </c>
      <c r="C348" s="303"/>
      <c r="D348" s="303"/>
      <c r="E348" s="303"/>
      <c r="F348" s="320">
        <f t="shared" si="45"/>
        <v>0</v>
      </c>
      <c r="G348" s="317" t="s">
        <v>195</v>
      </c>
      <c r="H348" s="317" t="s">
        <v>377</v>
      </c>
      <c r="I348" s="303"/>
      <c r="J348" s="303"/>
      <c r="K348" s="303"/>
      <c r="L348" s="318">
        <f t="shared" si="44"/>
        <v>0</v>
      </c>
    </row>
    <row r="349" spans="1:12" ht="12.75">
      <c r="A349" s="323" t="s">
        <v>378</v>
      </c>
      <c r="B349" s="293" t="s">
        <v>379</v>
      </c>
      <c r="C349" s="303"/>
      <c r="D349" s="303"/>
      <c r="E349" s="303"/>
      <c r="F349" s="320">
        <f t="shared" si="45"/>
        <v>0</v>
      </c>
      <c r="G349" s="311" t="s">
        <v>100</v>
      </c>
      <c r="H349" s="293" t="s">
        <v>96</v>
      </c>
      <c r="I349" s="303"/>
      <c r="J349" s="303"/>
      <c r="K349" s="303"/>
      <c r="L349" s="318">
        <f t="shared" si="44"/>
        <v>0</v>
      </c>
    </row>
    <row r="350" spans="1:12" ht="12.75">
      <c r="A350" s="324" t="s">
        <v>192</v>
      </c>
      <c r="B350" s="317" t="s">
        <v>186</v>
      </c>
      <c r="C350" s="303"/>
      <c r="D350" s="303"/>
      <c r="E350" s="303"/>
      <c r="F350" s="320">
        <f t="shared" si="45"/>
        <v>0</v>
      </c>
      <c r="G350" s="311" t="s">
        <v>101</v>
      </c>
      <c r="H350" s="293" t="s">
        <v>380</v>
      </c>
      <c r="I350" s="303"/>
      <c r="J350" s="303"/>
      <c r="K350" s="303"/>
      <c r="L350" s="318">
        <f t="shared" si="44"/>
        <v>0</v>
      </c>
    </row>
    <row r="351" spans="1:12" ht="12.75">
      <c r="A351" s="311" t="s">
        <v>100</v>
      </c>
      <c r="B351" s="296" t="s">
        <v>381</v>
      </c>
      <c r="C351" s="320">
        <f>SUM(C352:C354)</f>
        <v>5923</v>
      </c>
      <c r="D351" s="320">
        <f>SUM(D352:D354)</f>
        <v>0</v>
      </c>
      <c r="E351" s="320">
        <f>SUM(E352:E354)</f>
        <v>0</v>
      </c>
      <c r="F351" s="320">
        <f t="shared" si="45"/>
        <v>5923</v>
      </c>
      <c r="G351" s="311" t="s">
        <v>102</v>
      </c>
      <c r="H351" s="293" t="s">
        <v>382</v>
      </c>
      <c r="I351" s="303">
        <v>0</v>
      </c>
      <c r="J351" s="303">
        <v>0</v>
      </c>
      <c r="K351" s="303">
        <v>0</v>
      </c>
      <c r="L351" s="318">
        <f t="shared" si="44"/>
        <v>0</v>
      </c>
    </row>
    <row r="352" spans="1:12" ht="12.75">
      <c r="A352" s="311" t="s">
        <v>383</v>
      </c>
      <c r="B352" s="293" t="s">
        <v>384</v>
      </c>
      <c r="C352" s="303">
        <v>5923</v>
      </c>
      <c r="D352" s="303"/>
      <c r="E352" s="303"/>
      <c r="F352" s="320">
        <f t="shared" si="45"/>
        <v>5923</v>
      </c>
      <c r="G352" s="311" t="s">
        <v>103</v>
      </c>
      <c r="H352" s="293" t="s">
        <v>385</v>
      </c>
      <c r="I352" s="303">
        <v>0</v>
      </c>
      <c r="J352" s="303">
        <v>0</v>
      </c>
      <c r="K352" s="303">
        <v>0</v>
      </c>
      <c r="L352" s="318">
        <f t="shared" si="44"/>
        <v>0</v>
      </c>
    </row>
    <row r="353" spans="1:12" ht="12.75">
      <c r="A353" s="311" t="s">
        <v>386</v>
      </c>
      <c r="B353" s="293" t="s">
        <v>387</v>
      </c>
      <c r="C353" s="303">
        <v>0</v>
      </c>
      <c r="D353" s="303"/>
      <c r="E353" s="303"/>
      <c r="F353" s="303"/>
      <c r="G353" s="311" t="s">
        <v>104</v>
      </c>
      <c r="H353" s="293" t="s">
        <v>388</v>
      </c>
      <c r="I353" s="303">
        <v>0</v>
      </c>
      <c r="J353" s="303">
        <v>0</v>
      </c>
      <c r="K353" s="303">
        <v>0</v>
      </c>
      <c r="L353" s="318">
        <f t="shared" si="44"/>
        <v>0</v>
      </c>
    </row>
    <row r="354" spans="1:12" ht="12.75">
      <c r="A354" s="311" t="s">
        <v>389</v>
      </c>
      <c r="B354" s="293" t="s">
        <v>390</v>
      </c>
      <c r="C354" s="303">
        <v>0</v>
      </c>
      <c r="D354" s="303"/>
      <c r="E354" s="303"/>
      <c r="F354" s="303"/>
      <c r="G354" s="311"/>
      <c r="H354" s="293"/>
      <c r="I354" s="303"/>
      <c r="J354" s="303"/>
      <c r="K354" s="303"/>
      <c r="L354" s="303"/>
    </row>
    <row r="355" spans="1:12" ht="12.75">
      <c r="A355" s="317" t="s">
        <v>391</v>
      </c>
      <c r="B355" s="317" t="s">
        <v>392</v>
      </c>
      <c r="C355" s="303"/>
      <c r="D355" s="303"/>
      <c r="E355" s="303"/>
      <c r="F355" s="303"/>
      <c r="G355" s="317" t="s">
        <v>197</v>
      </c>
      <c r="H355" s="317" t="s">
        <v>393</v>
      </c>
      <c r="I355" s="303"/>
      <c r="J355" s="303"/>
      <c r="K355" s="303"/>
      <c r="L355" s="303"/>
    </row>
    <row r="356" spans="1:12" ht="12.75">
      <c r="A356" s="317" t="s">
        <v>394</v>
      </c>
      <c r="B356" s="317" t="s">
        <v>395</v>
      </c>
      <c r="C356" s="303"/>
      <c r="D356" s="303"/>
      <c r="E356" s="303"/>
      <c r="F356" s="303"/>
      <c r="G356" s="317" t="s">
        <v>198</v>
      </c>
      <c r="H356" s="317" t="s">
        <v>396</v>
      </c>
      <c r="I356" s="303"/>
      <c r="J356" s="303"/>
      <c r="K356" s="303"/>
      <c r="L356" s="303"/>
    </row>
    <row r="357" spans="1:12" ht="12.75">
      <c r="A357" s="311"/>
      <c r="B357" s="293" t="s">
        <v>397</v>
      </c>
      <c r="C357" s="303"/>
      <c r="D357" s="303"/>
      <c r="E357" s="303"/>
      <c r="F357" s="303"/>
      <c r="G357" s="311" t="s">
        <v>100</v>
      </c>
      <c r="H357" s="293" t="s">
        <v>398</v>
      </c>
      <c r="I357" s="303"/>
      <c r="J357" s="303"/>
      <c r="K357" s="303"/>
      <c r="L357" s="303"/>
    </row>
    <row r="358" spans="1:12" ht="12.75">
      <c r="A358" s="317" t="s">
        <v>399</v>
      </c>
      <c r="B358" s="317" t="s">
        <v>400</v>
      </c>
      <c r="C358" s="320">
        <v>0</v>
      </c>
      <c r="D358" s="320">
        <v>0</v>
      </c>
      <c r="E358" s="320">
        <v>0</v>
      </c>
      <c r="F358" s="320"/>
      <c r="G358" s="311" t="s">
        <v>101</v>
      </c>
      <c r="H358" s="293" t="s">
        <v>401</v>
      </c>
      <c r="I358" s="303"/>
      <c r="J358" s="303"/>
      <c r="K358" s="303"/>
      <c r="L358" s="303"/>
    </row>
    <row r="359" spans="1:12" ht="12.75">
      <c r="A359" s="317" t="s">
        <v>198</v>
      </c>
      <c r="B359" s="317" t="s">
        <v>402</v>
      </c>
      <c r="C359" s="303"/>
      <c r="D359" s="303"/>
      <c r="E359" s="303"/>
      <c r="F359" s="303"/>
      <c r="G359" s="311"/>
      <c r="H359" s="293"/>
      <c r="I359" s="303"/>
      <c r="J359" s="303"/>
      <c r="K359" s="303"/>
      <c r="L359" s="303"/>
    </row>
    <row r="360" spans="1:12" ht="12.75">
      <c r="A360" s="311"/>
      <c r="B360" s="301" t="s">
        <v>403</v>
      </c>
      <c r="C360" s="304">
        <f>SUM(C345+C346+C351+C355+C356+C358+C359)</f>
        <v>6903</v>
      </c>
      <c r="D360" s="304">
        <f>SUM(D345+D346+D351+D355+D356+D358+D359)</f>
        <v>-880</v>
      </c>
      <c r="E360" s="304">
        <f>SUM(E345+E346+E351+E355+E356+E358+E359)</f>
        <v>0</v>
      </c>
      <c r="F360" s="304">
        <f>SUM(F345+F346+F351+F355+F356+F358+F359)</f>
        <v>6023</v>
      </c>
      <c r="G360" s="311"/>
      <c r="H360" s="301" t="s">
        <v>404</v>
      </c>
      <c r="I360" s="304">
        <f>SUM(I345:I347)</f>
        <v>34523</v>
      </c>
      <c r="J360" s="304">
        <f>SUM(J345:J347)</f>
        <v>0</v>
      </c>
      <c r="K360" s="304">
        <f>SUM(K345:K347)</f>
        <v>0</v>
      </c>
      <c r="L360" s="304">
        <f>SUM(I360:K360)</f>
        <v>34523</v>
      </c>
    </row>
    <row r="361" spans="1:12" ht="12.75">
      <c r="A361" s="311"/>
      <c r="B361" s="327" t="s">
        <v>405</v>
      </c>
      <c r="C361" s="328">
        <f>I362-C360</f>
        <v>27620</v>
      </c>
      <c r="D361" s="328">
        <f>J362-D360</f>
        <v>880</v>
      </c>
      <c r="E361" s="328">
        <f>K362-E360</f>
        <v>0</v>
      </c>
      <c r="F361" s="328">
        <f>L362-F360</f>
        <v>28500</v>
      </c>
      <c r="G361" s="311"/>
      <c r="H361" s="293" t="s">
        <v>406</v>
      </c>
      <c r="I361" s="328"/>
      <c r="J361" s="328"/>
      <c r="K361" s="328"/>
      <c r="L361" s="303"/>
    </row>
    <row r="362" spans="1:12" ht="12.75">
      <c r="A362" s="311"/>
      <c r="B362" s="317" t="s">
        <v>407</v>
      </c>
      <c r="C362" s="303"/>
      <c r="D362" s="303"/>
      <c r="E362" s="303"/>
      <c r="F362" s="303"/>
      <c r="G362" s="311"/>
      <c r="H362" s="301" t="s">
        <v>408</v>
      </c>
      <c r="I362" s="304">
        <f>SUM(I360:I361)</f>
        <v>34523</v>
      </c>
      <c r="J362" s="304">
        <f>SUM(J360:J361)</f>
        <v>0</v>
      </c>
      <c r="K362" s="304">
        <f>SUM(K360:K361)</f>
        <v>0</v>
      </c>
      <c r="L362" s="304">
        <f>SUM(I362:K362)</f>
        <v>34523</v>
      </c>
    </row>
    <row r="363" spans="1:12" ht="12.75">
      <c r="A363" s="317" t="s">
        <v>409</v>
      </c>
      <c r="B363" s="317" t="s">
        <v>410</v>
      </c>
      <c r="C363" s="303"/>
      <c r="D363" s="303"/>
      <c r="E363" s="303"/>
      <c r="F363" s="303"/>
      <c r="G363" s="311"/>
      <c r="H363" s="327" t="s">
        <v>411</v>
      </c>
      <c r="I363" s="303"/>
      <c r="J363" s="303"/>
      <c r="K363" s="303"/>
      <c r="L363" s="303"/>
    </row>
    <row r="364" spans="1:12" ht="12.75">
      <c r="A364" s="317" t="s">
        <v>412</v>
      </c>
      <c r="B364" s="317" t="s">
        <v>413</v>
      </c>
      <c r="C364" s="303"/>
      <c r="D364" s="303"/>
      <c r="E364" s="303"/>
      <c r="F364" s="303"/>
      <c r="G364" s="311"/>
      <c r="H364" s="317" t="s">
        <v>94</v>
      </c>
      <c r="I364" s="303"/>
      <c r="J364" s="303"/>
      <c r="K364" s="303"/>
      <c r="L364" s="303"/>
    </row>
    <row r="365" spans="1:12" ht="12.75">
      <c r="A365" s="317" t="s">
        <v>414</v>
      </c>
      <c r="B365" s="317" t="s">
        <v>415</v>
      </c>
      <c r="C365" s="303"/>
      <c r="D365" s="303"/>
      <c r="E365" s="303"/>
      <c r="F365" s="303"/>
      <c r="G365" s="317" t="s">
        <v>194</v>
      </c>
      <c r="H365" s="317" t="s">
        <v>416</v>
      </c>
      <c r="I365" s="303"/>
      <c r="J365" s="303"/>
      <c r="K365" s="303"/>
      <c r="L365" s="303"/>
    </row>
    <row r="366" spans="1:12" ht="12.75">
      <c r="A366" s="317" t="s">
        <v>417</v>
      </c>
      <c r="B366" s="317" t="s">
        <v>193</v>
      </c>
      <c r="C366" s="303"/>
      <c r="D366" s="303"/>
      <c r="E366" s="303"/>
      <c r="F366" s="303"/>
      <c r="G366" s="317" t="s">
        <v>195</v>
      </c>
      <c r="H366" s="317" t="s">
        <v>377</v>
      </c>
      <c r="I366" s="303"/>
      <c r="J366" s="303"/>
      <c r="K366" s="303"/>
      <c r="L366" s="303"/>
    </row>
    <row r="367" spans="1:12" ht="12.75">
      <c r="A367" s="317" t="s">
        <v>194</v>
      </c>
      <c r="B367" s="317" t="s">
        <v>418</v>
      </c>
      <c r="C367" s="303"/>
      <c r="D367" s="303">
        <f>SUM(D368:D370)</f>
        <v>880</v>
      </c>
      <c r="E367" s="303">
        <f>SUM(E368:E370)</f>
        <v>0</v>
      </c>
      <c r="F367" s="303">
        <f>SUM(F368:F370)</f>
        <v>0</v>
      </c>
      <c r="G367" s="311" t="s">
        <v>100</v>
      </c>
      <c r="H367" s="293" t="s">
        <v>96</v>
      </c>
      <c r="I367" s="303"/>
      <c r="J367" s="303"/>
      <c r="K367" s="303"/>
      <c r="L367" s="303"/>
    </row>
    <row r="368" spans="1:12" ht="12.75">
      <c r="A368" s="311" t="s">
        <v>100</v>
      </c>
      <c r="B368" s="330" t="s">
        <v>419</v>
      </c>
      <c r="C368" s="303"/>
      <c r="D368" s="303"/>
      <c r="E368" s="303"/>
      <c r="F368" s="303"/>
      <c r="G368" s="311" t="s">
        <v>101</v>
      </c>
      <c r="H368" s="293" t="s">
        <v>420</v>
      </c>
      <c r="I368" s="303"/>
      <c r="J368" s="303"/>
      <c r="K368" s="303"/>
      <c r="L368" s="303"/>
    </row>
    <row r="369" spans="1:12" ht="12.75">
      <c r="A369" s="311" t="s">
        <v>101</v>
      </c>
      <c r="B369" s="330" t="s">
        <v>421</v>
      </c>
      <c r="C369" s="303"/>
      <c r="D369" s="303">
        <v>880</v>
      </c>
      <c r="E369" s="303"/>
      <c r="F369" s="303">
        <f>SUM(E369)</f>
        <v>0</v>
      </c>
      <c r="G369" s="317" t="s">
        <v>196</v>
      </c>
      <c r="H369" s="317" t="s">
        <v>422</v>
      </c>
      <c r="I369" s="303"/>
      <c r="J369" s="303"/>
      <c r="K369" s="303"/>
      <c r="L369" s="303"/>
    </row>
    <row r="370" spans="1:12" ht="12.75">
      <c r="A370" s="311" t="s">
        <v>102</v>
      </c>
      <c r="B370" s="330" t="s">
        <v>161</v>
      </c>
      <c r="C370" s="303"/>
      <c r="D370" s="303"/>
      <c r="E370" s="303"/>
      <c r="F370" s="303"/>
      <c r="G370" s="311" t="s">
        <v>100</v>
      </c>
      <c r="H370" s="330" t="s">
        <v>117</v>
      </c>
      <c r="I370" s="303"/>
      <c r="J370" s="303"/>
      <c r="K370" s="303"/>
      <c r="L370" s="303"/>
    </row>
    <row r="371" spans="1:12" ht="12.75">
      <c r="A371" s="317" t="s">
        <v>423</v>
      </c>
      <c r="B371" s="317" t="s">
        <v>424</v>
      </c>
      <c r="C371" s="303"/>
      <c r="D371" s="303"/>
      <c r="E371" s="303"/>
      <c r="F371" s="303"/>
      <c r="G371" s="311" t="s">
        <v>101</v>
      </c>
      <c r="H371" s="330" t="s">
        <v>97</v>
      </c>
      <c r="I371" s="303"/>
      <c r="J371" s="303"/>
      <c r="K371" s="303"/>
      <c r="L371" s="303"/>
    </row>
    <row r="372" spans="1:12" ht="12.75">
      <c r="A372" s="317" t="s">
        <v>425</v>
      </c>
      <c r="B372" s="317" t="s">
        <v>426</v>
      </c>
      <c r="C372" s="303"/>
      <c r="D372" s="303"/>
      <c r="E372" s="303"/>
      <c r="F372" s="303"/>
      <c r="G372" s="311" t="s">
        <v>102</v>
      </c>
      <c r="H372" s="293" t="s">
        <v>163</v>
      </c>
      <c r="I372" s="303"/>
      <c r="J372" s="303"/>
      <c r="K372" s="303"/>
      <c r="L372" s="303"/>
    </row>
    <row r="373" spans="1:12" ht="12.75">
      <c r="A373" s="317" t="s">
        <v>196</v>
      </c>
      <c r="B373" s="317" t="s">
        <v>427</v>
      </c>
      <c r="C373" s="303">
        <v>0</v>
      </c>
      <c r="D373" s="303">
        <v>0</v>
      </c>
      <c r="E373" s="303">
        <v>0</v>
      </c>
      <c r="F373" s="303"/>
      <c r="G373" s="317" t="s">
        <v>197</v>
      </c>
      <c r="H373" s="317" t="s">
        <v>428</v>
      </c>
      <c r="I373" s="303"/>
      <c r="J373" s="303"/>
      <c r="K373" s="303"/>
      <c r="L373" s="303"/>
    </row>
    <row r="374" spans="1:12" ht="12.75">
      <c r="A374" s="317" t="s">
        <v>197</v>
      </c>
      <c r="B374" s="317" t="s">
        <v>428</v>
      </c>
      <c r="C374" s="303">
        <v>0</v>
      </c>
      <c r="D374" s="303">
        <v>0</v>
      </c>
      <c r="E374" s="303">
        <v>0</v>
      </c>
      <c r="F374" s="303"/>
      <c r="G374" s="317" t="s">
        <v>198</v>
      </c>
      <c r="H374" s="317" t="s">
        <v>396</v>
      </c>
      <c r="I374" s="303">
        <f>SUM(I375)</f>
        <v>0</v>
      </c>
      <c r="J374" s="303">
        <f>SUM(J375)</f>
        <v>880</v>
      </c>
      <c r="K374" s="303">
        <f>SUM(K375)</f>
        <v>0</v>
      </c>
      <c r="L374" s="303">
        <f>SUM(I374:K374)</f>
        <v>880</v>
      </c>
    </row>
    <row r="375" spans="1:12" ht="12.75">
      <c r="A375" s="317" t="s">
        <v>198</v>
      </c>
      <c r="B375" s="317" t="s">
        <v>402</v>
      </c>
      <c r="C375" s="303">
        <v>0</v>
      </c>
      <c r="D375" s="303">
        <v>0</v>
      </c>
      <c r="E375" s="303">
        <v>0</v>
      </c>
      <c r="F375" s="303"/>
      <c r="G375" s="311" t="s">
        <v>100</v>
      </c>
      <c r="H375" s="293" t="s">
        <v>398</v>
      </c>
      <c r="I375" s="303"/>
      <c r="J375" s="303">
        <v>880</v>
      </c>
      <c r="K375" s="303"/>
      <c r="L375" s="303">
        <f>SUM(K375)</f>
        <v>0</v>
      </c>
    </row>
    <row r="376" spans="1:12" ht="12.75">
      <c r="A376" s="311"/>
      <c r="B376" s="301" t="s">
        <v>429</v>
      </c>
      <c r="C376" s="304">
        <f>SUM(C362:C367,C371:C375)</f>
        <v>0</v>
      </c>
      <c r="D376" s="304">
        <f>SUM(D362:D367,D371:D375)</f>
        <v>880</v>
      </c>
      <c r="E376" s="304">
        <f>SUM(E362:E367,E371:E375)</f>
        <v>0</v>
      </c>
      <c r="F376" s="304">
        <f>SUM(F362:F367,F371:F375)</f>
        <v>0</v>
      </c>
      <c r="G376" s="311" t="s">
        <v>441</v>
      </c>
      <c r="H376" s="301" t="s">
        <v>430</v>
      </c>
      <c r="I376" s="304">
        <f>SUM(I364:I366,I369,I373,I374)</f>
        <v>0</v>
      </c>
      <c r="J376" s="304">
        <f>SUM(J364:J366,J369,J373,J374)</f>
        <v>880</v>
      </c>
      <c r="K376" s="304">
        <f>SUM(K364:K366,K369,K373,K374)</f>
        <v>0</v>
      </c>
      <c r="L376" s="304">
        <f>SUM(L364:L366,L369,L373,L374)</f>
        <v>880</v>
      </c>
    </row>
    <row r="377" spans="1:12" ht="12.75">
      <c r="A377" s="311"/>
      <c r="B377" s="327" t="s">
        <v>433</v>
      </c>
      <c r="C377" s="328"/>
      <c r="D377" s="328"/>
      <c r="E377" s="328"/>
      <c r="F377" s="447"/>
      <c r="G377" s="311" t="s">
        <v>442</v>
      </c>
      <c r="H377" s="293" t="s">
        <v>434</v>
      </c>
      <c r="I377" s="303">
        <f>C376-I376</f>
        <v>0</v>
      </c>
      <c r="J377" s="303">
        <f>D376-J376</f>
        <v>0</v>
      </c>
      <c r="K377" s="303">
        <f>E376-K376</f>
        <v>0</v>
      </c>
      <c r="L377" s="303">
        <f>SUM(K377)</f>
        <v>0</v>
      </c>
    </row>
    <row r="378" spans="1:12" ht="13.5">
      <c r="A378" s="311"/>
      <c r="B378" s="332" t="s">
        <v>435</v>
      </c>
      <c r="C378" s="333">
        <f>SUM(C377+C361)</f>
        <v>27620</v>
      </c>
      <c r="D378" s="333">
        <f>SUM(D377+D361)</f>
        <v>880</v>
      </c>
      <c r="E378" s="333">
        <f>SUM(E377+E361)</f>
        <v>0</v>
      </c>
      <c r="F378" s="333">
        <f>SUM(F377+F361)</f>
        <v>28500</v>
      </c>
      <c r="G378" s="311" t="s">
        <v>443</v>
      </c>
      <c r="H378" s="332" t="s">
        <v>436</v>
      </c>
      <c r="I378" s="320"/>
      <c r="J378" s="303">
        <f>SUM(J361,J377)</f>
        <v>0</v>
      </c>
      <c r="K378" s="303">
        <f>SUM(K361,K377)</f>
        <v>0</v>
      </c>
      <c r="L378" s="303">
        <f>SUM(L361,L377)</f>
        <v>0</v>
      </c>
    </row>
    <row r="379" spans="1:12" ht="12.75">
      <c r="A379" s="311"/>
      <c r="B379" s="301" t="s">
        <v>467</v>
      </c>
      <c r="C379" s="304">
        <f>SUM(C376+C360+C378)</f>
        <v>34523</v>
      </c>
      <c r="D379" s="304">
        <f>SUM(D376+D360+D378)</f>
        <v>880</v>
      </c>
      <c r="E379" s="304">
        <f>SUM(E376+E360+E378)</f>
        <v>0</v>
      </c>
      <c r="F379" s="304">
        <f>SUM(F376+F360+F378)</f>
        <v>34523</v>
      </c>
      <c r="G379" s="311" t="s">
        <v>445</v>
      </c>
      <c r="H379" s="301" t="s">
        <v>467</v>
      </c>
      <c r="I379" s="304">
        <f>SUM(I362,I376,I378)</f>
        <v>34523</v>
      </c>
      <c r="J379" s="304">
        <f>SUM(J362,J376,J378)</f>
        <v>880</v>
      </c>
      <c r="K379" s="304">
        <f>SUM(K362,K376,K378)</f>
        <v>0</v>
      </c>
      <c r="L379" s="304">
        <f>SUM(L362,L376,L378)</f>
        <v>35403</v>
      </c>
    </row>
    <row r="380" spans="1:12" ht="12.75" customHeight="1">
      <c r="A380" s="564" t="s">
        <v>468</v>
      </c>
      <c r="B380" s="564"/>
      <c r="C380" s="564"/>
      <c r="D380" s="564"/>
      <c r="E380" s="564"/>
      <c r="F380" s="564"/>
      <c r="G380" s="564"/>
      <c r="H380" s="564"/>
      <c r="I380" s="564"/>
      <c r="J380" s="564"/>
      <c r="K380" s="564"/>
      <c r="L380" s="564"/>
    </row>
    <row r="381" spans="1:12" ht="12.75" customHeight="1">
      <c r="A381" s="564"/>
      <c r="B381" s="564"/>
      <c r="C381" s="564"/>
      <c r="D381" s="564"/>
      <c r="E381" s="564"/>
      <c r="F381" s="564"/>
      <c r="G381" s="564"/>
      <c r="H381" s="564"/>
      <c r="I381" s="564"/>
      <c r="J381" s="564"/>
      <c r="K381" s="564"/>
      <c r="L381" s="564"/>
    </row>
    <row r="382" spans="1:12" ht="15.75">
      <c r="A382" s="315" t="s">
        <v>447</v>
      </c>
      <c r="B382" s="58"/>
      <c r="C382" s="316"/>
      <c r="D382" s="316"/>
      <c r="E382" s="316"/>
      <c r="F382" s="316"/>
      <c r="G382" s="58"/>
      <c r="H382" s="58"/>
      <c r="I382" s="565" t="s">
        <v>364</v>
      </c>
      <c r="J382" s="566"/>
      <c r="K382" s="566"/>
      <c r="L382" s="566"/>
    </row>
    <row r="383" spans="1:12" ht="12.75" customHeight="1">
      <c r="A383" s="567" t="s">
        <v>365</v>
      </c>
      <c r="B383" s="569" t="s">
        <v>142</v>
      </c>
      <c r="C383" s="571" t="s">
        <v>155</v>
      </c>
      <c r="D383" s="571" t="s">
        <v>52</v>
      </c>
      <c r="E383" s="571" t="s">
        <v>53</v>
      </c>
      <c r="F383" s="571" t="s">
        <v>54</v>
      </c>
      <c r="G383" s="567" t="s">
        <v>365</v>
      </c>
      <c r="H383" s="569" t="s">
        <v>369</v>
      </c>
      <c r="I383" s="571" t="s">
        <v>155</v>
      </c>
      <c r="J383" s="571" t="s">
        <v>52</v>
      </c>
      <c r="K383" s="571" t="s">
        <v>53</v>
      </c>
      <c r="L383" s="571" t="s">
        <v>54</v>
      </c>
    </row>
    <row r="384" spans="1:12" ht="12.75" customHeight="1">
      <c r="A384" s="567"/>
      <c r="B384" s="569"/>
      <c r="C384" s="572"/>
      <c r="D384" s="572"/>
      <c r="E384" s="572"/>
      <c r="F384" s="574"/>
      <c r="G384" s="567"/>
      <c r="H384" s="569"/>
      <c r="I384" s="572"/>
      <c r="J384" s="572"/>
      <c r="K384" s="572"/>
      <c r="L384" s="574"/>
    </row>
    <row r="385" spans="1:12" ht="12.75">
      <c r="A385" s="568"/>
      <c r="B385" s="570"/>
      <c r="C385" s="573"/>
      <c r="D385" s="573"/>
      <c r="E385" s="573"/>
      <c r="F385" s="575"/>
      <c r="G385" s="568"/>
      <c r="H385" s="570"/>
      <c r="I385" s="573"/>
      <c r="J385" s="573"/>
      <c r="K385" s="573"/>
      <c r="L385" s="575"/>
    </row>
    <row r="386" spans="1:12" ht="12.75">
      <c r="A386" s="317" t="s">
        <v>88</v>
      </c>
      <c r="B386" s="317" t="s">
        <v>185</v>
      </c>
      <c r="C386" s="318"/>
      <c r="D386" s="318"/>
      <c r="E386" s="318"/>
      <c r="F386" s="318"/>
      <c r="G386" s="317"/>
      <c r="H386" s="317" t="s">
        <v>91</v>
      </c>
      <c r="I386" s="318">
        <f>SUM(I387:I389,I390,I397,I398)</f>
        <v>72488</v>
      </c>
      <c r="J386" s="318">
        <f>SUM(J387:J389,J390,J397,J398)</f>
        <v>0</v>
      </c>
      <c r="K386" s="318">
        <f>SUM(K387:K389,K390,K397,K398)</f>
        <v>0</v>
      </c>
      <c r="L386" s="318">
        <f>SUM(I386:K386)</f>
        <v>72488</v>
      </c>
    </row>
    <row r="387" spans="1:12" ht="12.75">
      <c r="A387" s="311" t="s">
        <v>100</v>
      </c>
      <c r="B387" s="296" t="s">
        <v>370</v>
      </c>
      <c r="C387" s="320">
        <v>0</v>
      </c>
      <c r="D387" s="320">
        <v>0</v>
      </c>
      <c r="E387" s="320">
        <v>0</v>
      </c>
      <c r="F387" s="320"/>
      <c r="G387" s="317" t="s">
        <v>88</v>
      </c>
      <c r="H387" s="317" t="s">
        <v>92</v>
      </c>
      <c r="I387" s="303">
        <f>17226-1235</f>
        <v>15991</v>
      </c>
      <c r="J387" s="303"/>
      <c r="K387" s="303"/>
      <c r="L387" s="318">
        <f aca="true" t="shared" si="46" ref="L387:L396">SUM(I387:K387)</f>
        <v>15991</v>
      </c>
    </row>
    <row r="388" spans="1:12" ht="12.75">
      <c r="A388" s="311" t="s">
        <v>101</v>
      </c>
      <c r="B388" s="296" t="s">
        <v>371</v>
      </c>
      <c r="C388" s="320">
        <v>0</v>
      </c>
      <c r="D388" s="320">
        <v>0</v>
      </c>
      <c r="E388" s="320">
        <v>0</v>
      </c>
      <c r="F388" s="320"/>
      <c r="G388" s="317" t="s">
        <v>372</v>
      </c>
      <c r="H388" s="317" t="s">
        <v>93</v>
      </c>
      <c r="I388" s="303">
        <v>5265</v>
      </c>
      <c r="J388" s="303"/>
      <c r="K388" s="303"/>
      <c r="L388" s="318">
        <f t="shared" si="46"/>
        <v>5265</v>
      </c>
    </row>
    <row r="389" spans="1:12" ht="12.75">
      <c r="A389" s="323" t="s">
        <v>373</v>
      </c>
      <c r="B389" s="293" t="s">
        <v>374</v>
      </c>
      <c r="C389" s="303">
        <v>0</v>
      </c>
      <c r="D389" s="303">
        <v>0</v>
      </c>
      <c r="E389" s="303">
        <v>0</v>
      </c>
      <c r="F389" s="303"/>
      <c r="G389" s="317" t="s">
        <v>194</v>
      </c>
      <c r="H389" s="317" t="s">
        <v>269</v>
      </c>
      <c r="I389" s="303">
        <v>51232</v>
      </c>
      <c r="J389" s="303"/>
      <c r="K389" s="303"/>
      <c r="L389" s="318">
        <f t="shared" si="46"/>
        <v>51232</v>
      </c>
    </row>
    <row r="390" spans="1:12" ht="12.75">
      <c r="A390" s="323" t="s">
        <v>375</v>
      </c>
      <c r="B390" s="293" t="s">
        <v>376</v>
      </c>
      <c r="C390" s="303"/>
      <c r="D390" s="303"/>
      <c r="E390" s="303"/>
      <c r="F390" s="303"/>
      <c r="G390" s="317" t="s">
        <v>195</v>
      </c>
      <c r="H390" s="317" t="s">
        <v>377</v>
      </c>
      <c r="I390" s="303"/>
      <c r="J390" s="303"/>
      <c r="K390" s="303"/>
      <c r="L390" s="318">
        <f t="shared" si="46"/>
        <v>0</v>
      </c>
    </row>
    <row r="391" spans="1:12" ht="12.75">
      <c r="A391" s="323" t="s">
        <v>378</v>
      </c>
      <c r="B391" s="293" t="s">
        <v>379</v>
      </c>
      <c r="C391" s="303"/>
      <c r="D391" s="303"/>
      <c r="E391" s="303"/>
      <c r="F391" s="303"/>
      <c r="G391" s="311" t="s">
        <v>100</v>
      </c>
      <c r="H391" s="293" t="s">
        <v>96</v>
      </c>
      <c r="I391" s="303"/>
      <c r="J391" s="303"/>
      <c r="K391" s="303"/>
      <c r="L391" s="318">
        <f t="shared" si="46"/>
        <v>0</v>
      </c>
    </row>
    <row r="392" spans="1:12" ht="12.75">
      <c r="A392" s="324" t="s">
        <v>192</v>
      </c>
      <c r="B392" s="317" t="s">
        <v>186</v>
      </c>
      <c r="C392" s="303"/>
      <c r="D392" s="303"/>
      <c r="E392" s="303"/>
      <c r="F392" s="303"/>
      <c r="G392" s="311" t="s">
        <v>101</v>
      </c>
      <c r="H392" s="293" t="s">
        <v>380</v>
      </c>
      <c r="I392" s="303"/>
      <c r="J392" s="303"/>
      <c r="K392" s="303"/>
      <c r="L392" s="318">
        <f t="shared" si="46"/>
        <v>0</v>
      </c>
    </row>
    <row r="393" spans="1:12" ht="12.75">
      <c r="A393" s="311" t="s">
        <v>100</v>
      </c>
      <c r="B393" s="296" t="s">
        <v>381</v>
      </c>
      <c r="C393" s="320">
        <v>0</v>
      </c>
      <c r="D393" s="320">
        <v>0</v>
      </c>
      <c r="E393" s="320">
        <v>0</v>
      </c>
      <c r="F393" s="320"/>
      <c r="G393" s="311" t="s">
        <v>102</v>
      </c>
      <c r="H393" s="293" t="s">
        <v>382</v>
      </c>
      <c r="I393" s="303">
        <v>0</v>
      </c>
      <c r="J393" s="303">
        <v>0</v>
      </c>
      <c r="K393" s="303">
        <v>0</v>
      </c>
      <c r="L393" s="318">
        <f t="shared" si="46"/>
        <v>0</v>
      </c>
    </row>
    <row r="394" spans="1:12" ht="12.75">
      <c r="A394" s="311" t="s">
        <v>383</v>
      </c>
      <c r="B394" s="293" t="s">
        <v>384</v>
      </c>
      <c r="C394" s="303">
        <v>0</v>
      </c>
      <c r="D394" s="303">
        <v>0</v>
      </c>
      <c r="E394" s="303">
        <v>0</v>
      </c>
      <c r="F394" s="303"/>
      <c r="G394" s="311" t="s">
        <v>103</v>
      </c>
      <c r="H394" s="293" t="s">
        <v>385</v>
      </c>
      <c r="I394" s="303">
        <v>0</v>
      </c>
      <c r="J394" s="303">
        <v>0</v>
      </c>
      <c r="K394" s="303">
        <v>0</v>
      </c>
      <c r="L394" s="318">
        <f t="shared" si="46"/>
        <v>0</v>
      </c>
    </row>
    <row r="395" spans="1:12" ht="12.75">
      <c r="A395" s="311" t="s">
        <v>386</v>
      </c>
      <c r="B395" s="293" t="s">
        <v>387</v>
      </c>
      <c r="C395" s="303">
        <v>0</v>
      </c>
      <c r="D395" s="303">
        <v>0</v>
      </c>
      <c r="E395" s="303">
        <v>0</v>
      </c>
      <c r="F395" s="303"/>
      <c r="G395" s="311" t="s">
        <v>104</v>
      </c>
      <c r="H395" s="293" t="s">
        <v>388</v>
      </c>
      <c r="I395" s="303">
        <v>0</v>
      </c>
      <c r="J395" s="303">
        <v>0</v>
      </c>
      <c r="K395" s="303">
        <v>0</v>
      </c>
      <c r="L395" s="318">
        <f t="shared" si="46"/>
        <v>0</v>
      </c>
    </row>
    <row r="396" spans="1:12" ht="12.75">
      <c r="A396" s="311" t="s">
        <v>389</v>
      </c>
      <c r="B396" s="293" t="s">
        <v>390</v>
      </c>
      <c r="C396" s="303">
        <v>0</v>
      </c>
      <c r="D396" s="303">
        <v>0</v>
      </c>
      <c r="E396" s="303">
        <v>0</v>
      </c>
      <c r="F396" s="303"/>
      <c r="G396" s="311"/>
      <c r="H396" s="293"/>
      <c r="I396" s="303"/>
      <c r="J396" s="303"/>
      <c r="K396" s="303"/>
      <c r="L396" s="318">
        <f t="shared" si="46"/>
        <v>0</v>
      </c>
    </row>
    <row r="397" spans="1:12" ht="12.75">
      <c r="A397" s="317" t="s">
        <v>391</v>
      </c>
      <c r="B397" s="317" t="s">
        <v>392</v>
      </c>
      <c r="C397" s="303"/>
      <c r="D397" s="303"/>
      <c r="E397" s="303"/>
      <c r="F397" s="303"/>
      <c r="G397" s="317" t="s">
        <v>197</v>
      </c>
      <c r="H397" s="317" t="s">
        <v>393</v>
      </c>
      <c r="I397" s="303"/>
      <c r="J397" s="303"/>
      <c r="K397" s="303"/>
      <c r="L397" s="303"/>
    </row>
    <row r="398" spans="1:12" ht="12.75">
      <c r="A398" s="317" t="s">
        <v>394</v>
      </c>
      <c r="B398" s="317" t="s">
        <v>395</v>
      </c>
      <c r="C398" s="303"/>
      <c r="D398" s="303"/>
      <c r="E398" s="303"/>
      <c r="F398" s="303"/>
      <c r="G398" s="317" t="s">
        <v>198</v>
      </c>
      <c r="H398" s="317" t="s">
        <v>396</v>
      </c>
      <c r="I398" s="303"/>
      <c r="J398" s="303"/>
      <c r="K398" s="303"/>
      <c r="L398" s="303"/>
    </row>
    <row r="399" spans="1:12" ht="12.75">
      <c r="A399" s="311"/>
      <c r="B399" s="293" t="s">
        <v>397</v>
      </c>
      <c r="C399" s="303"/>
      <c r="D399" s="303"/>
      <c r="E399" s="303"/>
      <c r="F399" s="303"/>
      <c r="G399" s="311" t="s">
        <v>100</v>
      </c>
      <c r="H399" s="293" t="s">
        <v>398</v>
      </c>
      <c r="I399" s="303"/>
      <c r="J399" s="303"/>
      <c r="K399" s="303"/>
      <c r="L399" s="303"/>
    </row>
    <row r="400" spans="1:12" ht="12.75">
      <c r="A400" s="317" t="s">
        <v>399</v>
      </c>
      <c r="B400" s="317" t="s">
        <v>400</v>
      </c>
      <c r="C400" s="320">
        <v>0</v>
      </c>
      <c r="D400" s="320">
        <v>0</v>
      </c>
      <c r="E400" s="320">
        <v>0</v>
      </c>
      <c r="F400" s="320"/>
      <c r="G400" s="311" t="s">
        <v>101</v>
      </c>
      <c r="H400" s="293" t="s">
        <v>401</v>
      </c>
      <c r="I400" s="303"/>
      <c r="J400" s="303"/>
      <c r="K400" s="303"/>
      <c r="L400" s="303"/>
    </row>
    <row r="401" spans="1:12" ht="12.75">
      <c r="A401" s="317" t="s">
        <v>198</v>
      </c>
      <c r="B401" s="317" t="s">
        <v>402</v>
      </c>
      <c r="C401" s="303">
        <v>0</v>
      </c>
      <c r="D401" s="303">
        <v>0</v>
      </c>
      <c r="E401" s="303">
        <v>0</v>
      </c>
      <c r="F401" s="303"/>
      <c r="G401" s="311"/>
      <c r="H401" s="293"/>
      <c r="I401" s="303"/>
      <c r="J401" s="303"/>
      <c r="K401" s="303"/>
      <c r="L401" s="303"/>
    </row>
    <row r="402" spans="1:12" ht="12.75">
      <c r="A402" s="311"/>
      <c r="B402" s="301" t="s">
        <v>403</v>
      </c>
      <c r="C402" s="304">
        <f>SUM(C387+C388+C393+C397+C398+C400+C401)</f>
        <v>0</v>
      </c>
      <c r="D402" s="304">
        <f>SUM(D387+D388+D393+D397+D398+D400+D401)</f>
        <v>0</v>
      </c>
      <c r="E402" s="304">
        <f>SUM(E387+E388+E393+E397+E398+E400+E401)</f>
        <v>0</v>
      </c>
      <c r="F402" s="446"/>
      <c r="G402" s="311"/>
      <c r="H402" s="301" t="s">
        <v>404</v>
      </c>
      <c r="I402" s="304">
        <f>SUM(I387:I389)</f>
        <v>72488</v>
      </c>
      <c r="J402" s="304">
        <f>SUM(J387:J389)</f>
        <v>0</v>
      </c>
      <c r="K402" s="304">
        <f>SUM(K387:K389)</f>
        <v>0</v>
      </c>
      <c r="L402" s="304">
        <f>SUM(I402:K402)</f>
        <v>72488</v>
      </c>
    </row>
    <row r="403" spans="1:12" ht="12.75">
      <c r="A403" s="311"/>
      <c r="B403" s="327" t="s">
        <v>405</v>
      </c>
      <c r="C403" s="328"/>
      <c r="D403" s="328"/>
      <c r="E403" s="328"/>
      <c r="F403" s="328"/>
      <c r="G403" s="311"/>
      <c r="H403" s="293" t="s">
        <v>406</v>
      </c>
      <c r="I403" s="328">
        <f>C402-I402</f>
        <v>-72488</v>
      </c>
      <c r="J403" s="328">
        <f>D402-J402</f>
        <v>0</v>
      </c>
      <c r="K403" s="328">
        <f>E402-K402</f>
        <v>0</v>
      </c>
      <c r="L403" s="303">
        <f>SUM(I403:K403)</f>
        <v>-72488</v>
      </c>
    </row>
    <row r="404" spans="1:12" ht="12.75">
      <c r="A404" s="311"/>
      <c r="B404" s="317" t="s">
        <v>407</v>
      </c>
      <c r="C404" s="303"/>
      <c r="D404" s="303"/>
      <c r="E404" s="303"/>
      <c r="F404" s="303"/>
      <c r="G404" s="311"/>
      <c r="H404" s="301" t="s">
        <v>408</v>
      </c>
      <c r="I404" s="304">
        <f>SUM(I402:I403)</f>
        <v>0</v>
      </c>
      <c r="J404" s="304">
        <f>SUM(J402:J403)</f>
        <v>0</v>
      </c>
      <c r="K404" s="304">
        <f>SUM(K402:K403)</f>
        <v>0</v>
      </c>
      <c r="L404" s="304">
        <f>SUM(L402:L403)</f>
        <v>0</v>
      </c>
    </row>
    <row r="405" spans="1:12" ht="12.75">
      <c r="A405" s="317" t="s">
        <v>409</v>
      </c>
      <c r="B405" s="317" t="s">
        <v>410</v>
      </c>
      <c r="C405" s="303"/>
      <c r="D405" s="303"/>
      <c r="E405" s="303"/>
      <c r="F405" s="303"/>
      <c r="G405" s="311"/>
      <c r="H405" s="327" t="s">
        <v>411</v>
      </c>
      <c r="I405" s="303"/>
      <c r="J405" s="303"/>
      <c r="K405" s="303"/>
      <c r="L405" s="303"/>
    </row>
    <row r="406" spans="1:12" ht="12.75">
      <c r="A406" s="317" t="s">
        <v>412</v>
      </c>
      <c r="B406" s="317" t="s">
        <v>413</v>
      </c>
      <c r="C406" s="303"/>
      <c r="D406" s="303"/>
      <c r="E406" s="303"/>
      <c r="F406" s="303"/>
      <c r="G406" s="311"/>
      <c r="H406" s="317" t="s">
        <v>94</v>
      </c>
      <c r="I406" s="303"/>
      <c r="J406" s="303"/>
      <c r="K406" s="303"/>
      <c r="L406" s="303"/>
    </row>
    <row r="407" spans="1:12" ht="12.75">
      <c r="A407" s="317" t="s">
        <v>414</v>
      </c>
      <c r="B407" s="317" t="s">
        <v>415</v>
      </c>
      <c r="C407" s="303"/>
      <c r="D407" s="303"/>
      <c r="E407" s="303"/>
      <c r="F407" s="303"/>
      <c r="G407" s="317" t="s">
        <v>194</v>
      </c>
      <c r="H407" s="317" t="s">
        <v>416</v>
      </c>
      <c r="I407" s="303"/>
      <c r="J407" s="303"/>
      <c r="K407" s="303"/>
      <c r="L407" s="303"/>
    </row>
    <row r="408" spans="1:12" ht="12.75">
      <c r="A408" s="317" t="s">
        <v>417</v>
      </c>
      <c r="B408" s="317" t="s">
        <v>193</v>
      </c>
      <c r="C408" s="303"/>
      <c r="D408" s="303"/>
      <c r="E408" s="303"/>
      <c r="F408" s="303"/>
      <c r="G408" s="317" t="s">
        <v>195</v>
      </c>
      <c r="H408" s="317" t="s">
        <v>377</v>
      </c>
      <c r="I408" s="303"/>
      <c r="J408" s="303"/>
      <c r="K408" s="303"/>
      <c r="L408" s="303"/>
    </row>
    <row r="409" spans="1:12" ht="12.75">
      <c r="A409" s="317" t="s">
        <v>194</v>
      </c>
      <c r="B409" s="317" t="s">
        <v>418</v>
      </c>
      <c r="C409" s="303"/>
      <c r="D409" s="303"/>
      <c r="E409" s="303"/>
      <c r="F409" s="303"/>
      <c r="G409" s="311" t="s">
        <v>100</v>
      </c>
      <c r="H409" s="293" t="s">
        <v>96</v>
      </c>
      <c r="I409" s="303"/>
      <c r="J409" s="303"/>
      <c r="K409" s="303"/>
      <c r="L409" s="303"/>
    </row>
    <row r="410" spans="1:12" ht="12.75">
      <c r="A410" s="311" t="s">
        <v>100</v>
      </c>
      <c r="B410" s="330" t="s">
        <v>419</v>
      </c>
      <c r="C410" s="303"/>
      <c r="D410" s="303"/>
      <c r="E410" s="303"/>
      <c r="F410" s="303"/>
      <c r="G410" s="311" t="s">
        <v>101</v>
      </c>
      <c r="H410" s="293" t="s">
        <v>420</v>
      </c>
      <c r="I410" s="303"/>
      <c r="J410" s="303"/>
      <c r="K410" s="303"/>
      <c r="L410" s="303"/>
    </row>
    <row r="411" spans="1:12" ht="12.75">
      <c r="A411" s="311" t="s">
        <v>101</v>
      </c>
      <c r="B411" s="330" t="s">
        <v>421</v>
      </c>
      <c r="C411" s="303"/>
      <c r="D411" s="303"/>
      <c r="E411" s="303"/>
      <c r="F411" s="303"/>
      <c r="G411" s="317" t="s">
        <v>196</v>
      </c>
      <c r="H411" s="317" t="s">
        <v>422</v>
      </c>
      <c r="I411" s="303"/>
      <c r="J411" s="303"/>
      <c r="K411" s="303"/>
      <c r="L411" s="303"/>
    </row>
    <row r="412" spans="1:12" ht="12.75">
      <c r="A412" s="311" t="s">
        <v>102</v>
      </c>
      <c r="B412" s="330" t="s">
        <v>161</v>
      </c>
      <c r="C412" s="303"/>
      <c r="D412" s="303"/>
      <c r="E412" s="303"/>
      <c r="F412" s="303"/>
      <c r="G412" s="311" t="s">
        <v>100</v>
      </c>
      <c r="H412" s="330" t="s">
        <v>117</v>
      </c>
      <c r="I412" s="303"/>
      <c r="J412" s="303"/>
      <c r="K412" s="303"/>
      <c r="L412" s="303"/>
    </row>
    <row r="413" spans="1:12" ht="12.75">
      <c r="A413" s="317" t="s">
        <v>423</v>
      </c>
      <c r="B413" s="317" t="s">
        <v>424</v>
      </c>
      <c r="C413" s="303"/>
      <c r="D413" s="303"/>
      <c r="E413" s="303"/>
      <c r="F413" s="303"/>
      <c r="G413" s="311" t="s">
        <v>101</v>
      </c>
      <c r="H413" s="330" t="s">
        <v>97</v>
      </c>
      <c r="I413" s="303"/>
      <c r="J413" s="303"/>
      <c r="K413" s="303"/>
      <c r="L413" s="303"/>
    </row>
    <row r="414" spans="1:12" ht="12.75">
      <c r="A414" s="317" t="s">
        <v>425</v>
      </c>
      <c r="B414" s="317" t="s">
        <v>426</v>
      </c>
      <c r="C414" s="303"/>
      <c r="D414" s="303"/>
      <c r="E414" s="303"/>
      <c r="F414" s="303"/>
      <c r="G414" s="311" t="s">
        <v>102</v>
      </c>
      <c r="H414" s="293" t="s">
        <v>163</v>
      </c>
      <c r="I414" s="303"/>
      <c r="J414" s="303"/>
      <c r="K414" s="303"/>
      <c r="L414" s="303"/>
    </row>
    <row r="415" spans="1:12" ht="12.75">
      <c r="A415" s="317" t="s">
        <v>196</v>
      </c>
      <c r="B415" s="317" t="s">
        <v>427</v>
      </c>
      <c r="C415" s="303">
        <v>0</v>
      </c>
      <c r="D415" s="303">
        <v>0</v>
      </c>
      <c r="E415" s="303">
        <v>0</v>
      </c>
      <c r="F415" s="303"/>
      <c r="G415" s="317" t="s">
        <v>197</v>
      </c>
      <c r="H415" s="317" t="s">
        <v>428</v>
      </c>
      <c r="I415" s="303"/>
      <c r="J415" s="303"/>
      <c r="K415" s="303"/>
      <c r="L415" s="303"/>
    </row>
    <row r="416" spans="1:12" ht="12.75">
      <c r="A416" s="317" t="s">
        <v>197</v>
      </c>
      <c r="B416" s="317" t="s">
        <v>428</v>
      </c>
      <c r="C416" s="303">
        <v>0</v>
      </c>
      <c r="D416" s="303">
        <v>0</v>
      </c>
      <c r="E416" s="303">
        <v>0</v>
      </c>
      <c r="F416" s="303"/>
      <c r="G416" s="317" t="s">
        <v>198</v>
      </c>
      <c r="H416" s="317" t="s">
        <v>396</v>
      </c>
      <c r="I416" s="303"/>
      <c r="J416" s="303"/>
      <c r="K416" s="303"/>
      <c r="L416" s="303"/>
    </row>
    <row r="417" spans="1:12" ht="12.75">
      <c r="A417" s="317" t="s">
        <v>198</v>
      </c>
      <c r="B417" s="317" t="s">
        <v>402</v>
      </c>
      <c r="C417" s="303">
        <v>0</v>
      </c>
      <c r="D417" s="303">
        <v>0</v>
      </c>
      <c r="E417" s="303">
        <v>0</v>
      </c>
      <c r="F417" s="303"/>
      <c r="G417" s="311" t="s">
        <v>100</v>
      </c>
      <c r="H417" s="293" t="s">
        <v>398</v>
      </c>
      <c r="I417" s="303"/>
      <c r="J417" s="303"/>
      <c r="K417" s="303"/>
      <c r="L417" s="303"/>
    </row>
    <row r="418" spans="1:12" ht="12.75">
      <c r="A418" s="311"/>
      <c r="B418" s="301" t="s">
        <v>429</v>
      </c>
      <c r="C418" s="304">
        <f>SUM(C415:C417)</f>
        <v>0</v>
      </c>
      <c r="D418" s="304">
        <f>SUM(D415:D417)</f>
        <v>0</v>
      </c>
      <c r="E418" s="304">
        <f>SUM(E415:E417)</f>
        <v>0</v>
      </c>
      <c r="F418" s="304"/>
      <c r="G418" s="311" t="s">
        <v>441</v>
      </c>
      <c r="H418" s="301" t="s">
        <v>430</v>
      </c>
      <c r="I418" s="304">
        <f>SUM(I415:I417)</f>
        <v>0</v>
      </c>
      <c r="J418" s="304">
        <f>SUM(J415:J417)</f>
        <v>0</v>
      </c>
      <c r="K418" s="304">
        <f>SUM(K415:K417)</f>
        <v>0</v>
      </c>
      <c r="L418" s="304">
        <f>SUM(L415:L417)</f>
        <v>0</v>
      </c>
    </row>
    <row r="419" spans="1:12" ht="12.75">
      <c r="A419" s="311"/>
      <c r="B419" s="327" t="s">
        <v>433</v>
      </c>
      <c r="C419" s="328"/>
      <c r="D419" s="328"/>
      <c r="E419" s="328"/>
      <c r="F419" s="447"/>
      <c r="G419" s="311" t="s">
        <v>442</v>
      </c>
      <c r="H419" s="293" t="s">
        <v>434</v>
      </c>
      <c r="I419" s="303">
        <f>C418-I418</f>
        <v>0</v>
      </c>
      <c r="J419" s="303">
        <f>D418-J418</f>
        <v>0</v>
      </c>
      <c r="K419" s="303">
        <f>E418-K418</f>
        <v>0</v>
      </c>
      <c r="L419" s="303">
        <f>F418-L418</f>
        <v>0</v>
      </c>
    </row>
    <row r="420" spans="1:12" ht="13.5">
      <c r="A420" s="311"/>
      <c r="B420" s="332" t="s">
        <v>435</v>
      </c>
      <c r="C420" s="333">
        <f>SUM(C419+C403)</f>
        <v>0</v>
      </c>
      <c r="D420" s="333">
        <f>SUM(D419+D403)</f>
        <v>0</v>
      </c>
      <c r="E420" s="333">
        <f>SUM(E419+E403)</f>
        <v>0</v>
      </c>
      <c r="F420" s="313"/>
      <c r="G420" s="311" t="s">
        <v>443</v>
      </c>
      <c r="H420" s="332" t="s">
        <v>436</v>
      </c>
      <c r="I420" s="320"/>
      <c r="J420" s="320"/>
      <c r="K420" s="320"/>
      <c r="L420" s="303"/>
    </row>
    <row r="421" spans="1:12" ht="12.75">
      <c r="A421" s="311"/>
      <c r="B421" s="301" t="s">
        <v>470</v>
      </c>
      <c r="C421" s="304">
        <f>SUM(C418+C402+C420)</f>
        <v>0</v>
      </c>
      <c r="D421" s="304">
        <f>SUM(D418+D402+D420)</f>
        <v>0</v>
      </c>
      <c r="E421" s="304">
        <f>SUM(E418+E402+E420)</f>
        <v>0</v>
      </c>
      <c r="F421" s="304"/>
      <c r="G421" s="311" t="s">
        <v>445</v>
      </c>
      <c r="H421" s="301" t="s">
        <v>470</v>
      </c>
      <c r="I421" s="304">
        <f>SUM(I404,I418,I420)</f>
        <v>0</v>
      </c>
      <c r="J421" s="304">
        <f>SUM(J404,J418,J420)</f>
        <v>0</v>
      </c>
      <c r="K421" s="304">
        <f>SUM(K404,K418,K420)</f>
        <v>0</v>
      </c>
      <c r="L421" s="304">
        <f>SUM(L404,L418,L420)</f>
        <v>0</v>
      </c>
    </row>
  </sheetData>
  <mergeCells count="140">
    <mergeCell ref="I383:I385"/>
    <mergeCell ref="J383:J385"/>
    <mergeCell ref="K383:K385"/>
    <mergeCell ref="L383:L385"/>
    <mergeCell ref="A380:L381"/>
    <mergeCell ref="I382:L382"/>
    <mergeCell ref="A383:A385"/>
    <mergeCell ref="B383:B385"/>
    <mergeCell ref="C383:C385"/>
    <mergeCell ref="D383:D385"/>
    <mergeCell ref="E383:E385"/>
    <mergeCell ref="F383:F385"/>
    <mergeCell ref="G383:G385"/>
    <mergeCell ref="H383:H385"/>
    <mergeCell ref="I341:I343"/>
    <mergeCell ref="J341:J343"/>
    <mergeCell ref="K341:K343"/>
    <mergeCell ref="L341:L343"/>
    <mergeCell ref="A338:L339"/>
    <mergeCell ref="I340:L340"/>
    <mergeCell ref="A341:A343"/>
    <mergeCell ref="B341:B343"/>
    <mergeCell ref="C341:C343"/>
    <mergeCell ref="D341:D343"/>
    <mergeCell ref="E341:E343"/>
    <mergeCell ref="F341:F343"/>
    <mergeCell ref="G341:G343"/>
    <mergeCell ref="H341:H343"/>
    <mergeCell ref="I299:I301"/>
    <mergeCell ref="J299:J301"/>
    <mergeCell ref="K299:K301"/>
    <mergeCell ref="L299:L301"/>
    <mergeCell ref="A296:L297"/>
    <mergeCell ref="I298:L298"/>
    <mergeCell ref="A299:A301"/>
    <mergeCell ref="B299:B301"/>
    <mergeCell ref="C299:C301"/>
    <mergeCell ref="D299:D301"/>
    <mergeCell ref="E299:E301"/>
    <mergeCell ref="F299:F301"/>
    <mergeCell ref="G299:G301"/>
    <mergeCell ref="H299:H301"/>
    <mergeCell ref="I257:I259"/>
    <mergeCell ref="J257:J259"/>
    <mergeCell ref="K257:K259"/>
    <mergeCell ref="L257:L259"/>
    <mergeCell ref="A254:L255"/>
    <mergeCell ref="I256:L256"/>
    <mergeCell ref="A257:A259"/>
    <mergeCell ref="B257:B259"/>
    <mergeCell ref="C257:C259"/>
    <mergeCell ref="D257:D259"/>
    <mergeCell ref="E257:E259"/>
    <mergeCell ref="F257:F259"/>
    <mergeCell ref="G257:G259"/>
    <mergeCell ref="H257:H259"/>
    <mergeCell ref="I215:I217"/>
    <mergeCell ref="J215:J217"/>
    <mergeCell ref="K215:K217"/>
    <mergeCell ref="L215:L217"/>
    <mergeCell ref="A212:L213"/>
    <mergeCell ref="I214:L214"/>
    <mergeCell ref="A215:A217"/>
    <mergeCell ref="B215:B217"/>
    <mergeCell ref="C215:C217"/>
    <mergeCell ref="D215:D217"/>
    <mergeCell ref="E215:E217"/>
    <mergeCell ref="F215:F217"/>
    <mergeCell ref="G215:G217"/>
    <mergeCell ref="H215:H217"/>
    <mergeCell ref="I173:I175"/>
    <mergeCell ref="J173:J175"/>
    <mergeCell ref="K173:K175"/>
    <mergeCell ref="L173:L175"/>
    <mergeCell ref="A170:L171"/>
    <mergeCell ref="I172:L172"/>
    <mergeCell ref="A173:A175"/>
    <mergeCell ref="B173:B175"/>
    <mergeCell ref="C173:C175"/>
    <mergeCell ref="D173:D175"/>
    <mergeCell ref="E173:E175"/>
    <mergeCell ref="F173:F175"/>
    <mergeCell ref="G173:G175"/>
    <mergeCell ref="H173:H175"/>
    <mergeCell ref="I131:I133"/>
    <mergeCell ref="J131:J133"/>
    <mergeCell ref="K131:K133"/>
    <mergeCell ref="L131:L133"/>
    <mergeCell ref="A128:L129"/>
    <mergeCell ref="I130:L130"/>
    <mergeCell ref="A131:A133"/>
    <mergeCell ref="B131:B133"/>
    <mergeCell ref="C131:C133"/>
    <mergeCell ref="D131:D133"/>
    <mergeCell ref="E131:E133"/>
    <mergeCell ref="F131:F133"/>
    <mergeCell ref="G131:G133"/>
    <mergeCell ref="H131:H133"/>
    <mergeCell ref="I89:I91"/>
    <mergeCell ref="J89:J91"/>
    <mergeCell ref="K89:K91"/>
    <mergeCell ref="L89:L91"/>
    <mergeCell ref="A86:L87"/>
    <mergeCell ref="I88:L88"/>
    <mergeCell ref="A89:A91"/>
    <mergeCell ref="B89:B91"/>
    <mergeCell ref="C89:C91"/>
    <mergeCell ref="D89:D91"/>
    <mergeCell ref="E89:E91"/>
    <mergeCell ref="F89:F91"/>
    <mergeCell ref="G89:G91"/>
    <mergeCell ref="H89:H91"/>
    <mergeCell ref="I47:I49"/>
    <mergeCell ref="J47:J49"/>
    <mergeCell ref="K47:K49"/>
    <mergeCell ref="L47:L49"/>
    <mergeCell ref="A44:L45"/>
    <mergeCell ref="I46:L46"/>
    <mergeCell ref="A47:A49"/>
    <mergeCell ref="B47:B49"/>
    <mergeCell ref="C47:C49"/>
    <mergeCell ref="D47:D49"/>
    <mergeCell ref="E47:E49"/>
    <mergeCell ref="F47:F49"/>
    <mergeCell ref="G47:G49"/>
    <mergeCell ref="H47:H49"/>
    <mergeCell ref="I4:I6"/>
    <mergeCell ref="J4:J6"/>
    <mergeCell ref="K4:K6"/>
    <mergeCell ref="L4:L6"/>
    <mergeCell ref="A1:L2"/>
    <mergeCell ref="I3:L3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75" right="0.75" top="1" bottom="1" header="0.5" footer="0.5"/>
  <pageSetup horizontalDpi="600" verticalDpi="600" orientation="landscape" paperSize="9" scale="84" r:id="rId1"/>
  <rowBreaks count="4" manualBreakCount="4">
    <brk id="43" max="255" man="1"/>
    <brk id="85" max="255" man="1"/>
    <brk id="127" max="255" man="1"/>
    <brk id="1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21"/>
  <sheetViews>
    <sheetView workbookViewId="0" topLeftCell="B256">
      <selection activeCell="A3" sqref="A1:L16384"/>
    </sheetView>
  </sheetViews>
  <sheetFormatPr defaultColWidth="9.140625" defaultRowHeight="12.75"/>
  <cols>
    <col min="1" max="1" width="6.57421875" style="0" customWidth="1"/>
    <col min="2" max="2" width="30.28125" style="0" customWidth="1"/>
    <col min="6" max="6" width="9.00390625" style="336" customWidth="1"/>
    <col min="7" max="7" width="6.57421875" style="0" customWidth="1"/>
    <col min="8" max="8" width="27.421875" style="0" customWidth="1"/>
    <col min="12" max="12" width="9.28125" style="336" customWidth="1"/>
  </cols>
  <sheetData>
    <row r="1" spans="1:12" ht="12.75">
      <c r="A1" s="564" t="s">
        <v>362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</row>
    <row r="2" spans="1:12" ht="12.75">
      <c r="A2" s="564"/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</row>
    <row r="3" spans="1:12" ht="15.75">
      <c r="A3" s="315" t="s">
        <v>363</v>
      </c>
      <c r="B3" s="58"/>
      <c r="C3" s="316"/>
      <c r="D3" s="316"/>
      <c r="E3" s="316"/>
      <c r="F3" s="316"/>
      <c r="G3" s="58"/>
      <c r="H3" s="58"/>
      <c r="I3" s="565" t="s">
        <v>364</v>
      </c>
      <c r="J3" s="566"/>
      <c r="K3" s="566"/>
      <c r="L3" s="566"/>
    </row>
    <row r="4" spans="1:12" ht="12.75" customHeight="1">
      <c r="A4" s="567" t="s">
        <v>365</v>
      </c>
      <c r="B4" s="569" t="s">
        <v>142</v>
      </c>
      <c r="C4" s="571" t="s">
        <v>155</v>
      </c>
      <c r="D4" s="571" t="s">
        <v>52</v>
      </c>
      <c r="E4" s="571" t="s">
        <v>53</v>
      </c>
      <c r="F4" s="571" t="s">
        <v>54</v>
      </c>
      <c r="G4" s="567" t="s">
        <v>365</v>
      </c>
      <c r="H4" s="569" t="s">
        <v>369</v>
      </c>
      <c r="I4" s="571" t="s">
        <v>155</v>
      </c>
      <c r="J4" s="571" t="s">
        <v>52</v>
      </c>
      <c r="K4" s="571" t="s">
        <v>53</v>
      </c>
      <c r="L4" s="571" t="s">
        <v>54</v>
      </c>
    </row>
    <row r="5" spans="1:12" ht="12.75">
      <c r="A5" s="567"/>
      <c r="B5" s="569"/>
      <c r="C5" s="572"/>
      <c r="D5" s="572"/>
      <c r="E5" s="572"/>
      <c r="F5" s="574"/>
      <c r="G5" s="567"/>
      <c r="H5" s="569"/>
      <c r="I5" s="572"/>
      <c r="J5" s="572"/>
      <c r="K5" s="572"/>
      <c r="L5" s="574"/>
    </row>
    <row r="6" spans="1:12" ht="12.75">
      <c r="A6" s="568"/>
      <c r="B6" s="570"/>
      <c r="C6" s="573"/>
      <c r="D6" s="573"/>
      <c r="E6" s="573"/>
      <c r="F6" s="575"/>
      <c r="G6" s="568"/>
      <c r="H6" s="570"/>
      <c r="I6" s="573"/>
      <c r="J6" s="573"/>
      <c r="K6" s="573"/>
      <c r="L6" s="575"/>
    </row>
    <row r="7" spans="1:12" ht="12.75">
      <c r="A7" s="317" t="s">
        <v>88</v>
      </c>
      <c r="B7" s="317" t="s">
        <v>185</v>
      </c>
      <c r="C7" s="318"/>
      <c r="D7" s="318"/>
      <c r="E7" s="318"/>
      <c r="F7" s="318"/>
      <c r="G7" s="317"/>
      <c r="H7" s="317" t="s">
        <v>91</v>
      </c>
      <c r="I7" s="318">
        <f>SUM(I8:I11,I18,I19)</f>
        <v>1150143</v>
      </c>
      <c r="J7" s="318">
        <f>SUM(J8:J11,J18,J19)</f>
        <v>0</v>
      </c>
      <c r="K7" s="318">
        <f>SUM(K8:K11,K18,K19)</f>
        <v>253</v>
      </c>
      <c r="L7" s="318">
        <f>SUM(L8:L11,L18,L19)</f>
        <v>1150396</v>
      </c>
    </row>
    <row r="8" spans="1:12" ht="12.75">
      <c r="A8" s="311" t="s">
        <v>100</v>
      </c>
      <c r="B8" s="296" t="s">
        <v>370</v>
      </c>
      <c r="C8" s="320">
        <f>SUM(C51+C93)</f>
        <v>56599</v>
      </c>
      <c r="D8" s="320">
        <f>SUM(D51+D93)</f>
        <v>0</v>
      </c>
      <c r="E8" s="320">
        <f>SUM(E51+E93)</f>
        <v>-5953</v>
      </c>
      <c r="F8" s="320">
        <f>SUM(F51+F93)</f>
        <v>50646</v>
      </c>
      <c r="G8" s="317" t="s">
        <v>88</v>
      </c>
      <c r="H8" s="317" t="s">
        <v>92</v>
      </c>
      <c r="I8" s="303">
        <f>SUM(I51+I93)</f>
        <v>487860</v>
      </c>
      <c r="J8" s="303">
        <f aca="true" t="shared" si="0" ref="J8:L10">SUM(J51+J93)</f>
        <v>0</v>
      </c>
      <c r="K8" s="303">
        <f t="shared" si="0"/>
        <v>-30</v>
      </c>
      <c r="L8" s="303">
        <f t="shared" si="0"/>
        <v>487830</v>
      </c>
    </row>
    <row r="9" spans="1:12" ht="12.75">
      <c r="A9" s="311" t="s">
        <v>101</v>
      </c>
      <c r="B9" s="296" t="s">
        <v>371</v>
      </c>
      <c r="C9" s="320">
        <f>SUM(C10:C12)</f>
        <v>281420</v>
      </c>
      <c r="D9" s="320">
        <f>SUM(D10:D12)</f>
        <v>0</v>
      </c>
      <c r="E9" s="320">
        <f>SUM(E10:E12)</f>
        <v>-10394</v>
      </c>
      <c r="F9" s="320">
        <f aca="true" t="shared" si="1" ref="F9:F22">SUM(F52+F94)</f>
        <v>271026</v>
      </c>
      <c r="G9" s="317" t="s">
        <v>372</v>
      </c>
      <c r="H9" s="317" t="s">
        <v>93</v>
      </c>
      <c r="I9" s="303">
        <f>SUM(I52+I94)</f>
        <v>151657</v>
      </c>
      <c r="J9" s="303">
        <f t="shared" si="0"/>
        <v>0</v>
      </c>
      <c r="K9" s="303">
        <f t="shared" si="0"/>
        <v>0</v>
      </c>
      <c r="L9" s="303">
        <f>SUM(L52+L94)</f>
        <v>151657</v>
      </c>
    </row>
    <row r="10" spans="1:12" ht="12.75">
      <c r="A10" s="323" t="s">
        <v>373</v>
      </c>
      <c r="B10" s="293" t="s">
        <v>374</v>
      </c>
      <c r="C10" s="303">
        <f>SUM(C53+C95)</f>
        <v>66800</v>
      </c>
      <c r="D10" s="303">
        <f aca="true" t="shared" si="2" ref="D10:E12">SUM(D53+D95)</f>
        <v>0</v>
      </c>
      <c r="E10" s="303">
        <f t="shared" si="2"/>
        <v>0</v>
      </c>
      <c r="F10" s="320">
        <f t="shared" si="1"/>
        <v>66800</v>
      </c>
      <c r="G10" s="317" t="s">
        <v>194</v>
      </c>
      <c r="H10" s="317" t="s">
        <v>269</v>
      </c>
      <c r="I10" s="303">
        <f>SUM(I53+I95)</f>
        <v>235346</v>
      </c>
      <c r="J10" s="303">
        <f t="shared" si="0"/>
        <v>0</v>
      </c>
      <c r="K10" s="303">
        <f t="shared" si="0"/>
        <v>8</v>
      </c>
      <c r="L10" s="303">
        <f>SUM(L53+L95)</f>
        <v>235354</v>
      </c>
    </row>
    <row r="11" spans="1:12" ht="12.75">
      <c r="A11" s="323" t="s">
        <v>375</v>
      </c>
      <c r="B11" s="293" t="s">
        <v>376</v>
      </c>
      <c r="C11" s="303">
        <f>SUM(C54+C96)</f>
        <v>211620</v>
      </c>
      <c r="D11" s="303">
        <f t="shared" si="2"/>
        <v>0</v>
      </c>
      <c r="E11" s="303">
        <f t="shared" si="2"/>
        <v>-10394</v>
      </c>
      <c r="F11" s="320">
        <f t="shared" si="1"/>
        <v>201226</v>
      </c>
      <c r="G11" s="317" t="s">
        <v>195</v>
      </c>
      <c r="H11" s="317" t="s">
        <v>377</v>
      </c>
      <c r="I11" s="303">
        <f>SUM(I12:I16)</f>
        <v>207419</v>
      </c>
      <c r="J11" s="303">
        <f>SUM(J12:J16)</f>
        <v>0</v>
      </c>
      <c r="K11" s="303">
        <f>SUM(K12:K16)</f>
        <v>0</v>
      </c>
      <c r="L11" s="303">
        <f>SUM(L54+L96)</f>
        <v>207419</v>
      </c>
    </row>
    <row r="12" spans="1:12" ht="12.75">
      <c r="A12" s="323" t="s">
        <v>378</v>
      </c>
      <c r="B12" s="293" t="s">
        <v>379</v>
      </c>
      <c r="C12" s="303">
        <f>SUM(C55+C97)</f>
        <v>3000</v>
      </c>
      <c r="D12" s="303">
        <f t="shared" si="2"/>
        <v>0</v>
      </c>
      <c r="E12" s="303">
        <f t="shared" si="2"/>
        <v>0</v>
      </c>
      <c r="F12" s="320">
        <f t="shared" si="1"/>
        <v>3000</v>
      </c>
      <c r="G12" s="311" t="s">
        <v>100</v>
      </c>
      <c r="H12" s="293" t="s">
        <v>96</v>
      </c>
      <c r="I12" s="303">
        <f>SUM(I55+I97)</f>
        <v>20676</v>
      </c>
      <c r="J12" s="303">
        <f aca="true" t="shared" si="3" ref="J12:L16">SUM(J55+J97)</f>
        <v>0</v>
      </c>
      <c r="K12" s="303">
        <f t="shared" si="3"/>
        <v>0</v>
      </c>
      <c r="L12" s="303">
        <f t="shared" si="3"/>
        <v>20676</v>
      </c>
    </row>
    <row r="13" spans="1:12" ht="12.75">
      <c r="A13" s="324" t="s">
        <v>192</v>
      </c>
      <c r="B13" s="317" t="s">
        <v>186</v>
      </c>
      <c r="C13" s="303"/>
      <c r="D13" s="303"/>
      <c r="E13" s="303"/>
      <c r="F13" s="320">
        <f t="shared" si="1"/>
        <v>0</v>
      </c>
      <c r="G13" s="311" t="s">
        <v>101</v>
      </c>
      <c r="H13" s="293" t="s">
        <v>380</v>
      </c>
      <c r="I13" s="303">
        <f>SUM(I56+I98)</f>
        <v>13972</v>
      </c>
      <c r="J13" s="303">
        <f t="shared" si="3"/>
        <v>0</v>
      </c>
      <c r="K13" s="303"/>
      <c r="L13" s="303">
        <f>SUM(L56+L98)</f>
        <v>13972</v>
      </c>
    </row>
    <row r="14" spans="1:12" ht="12.75">
      <c r="A14" s="311" t="s">
        <v>100</v>
      </c>
      <c r="B14" s="296" t="s">
        <v>381</v>
      </c>
      <c r="C14" s="320">
        <f>SUM(C15:C17)</f>
        <v>608307</v>
      </c>
      <c r="D14" s="320">
        <f>SUM(D15:D17)</f>
        <v>0</v>
      </c>
      <c r="E14" s="320">
        <f>SUM(E15:E17)</f>
        <v>0</v>
      </c>
      <c r="F14" s="320">
        <f t="shared" si="1"/>
        <v>608307</v>
      </c>
      <c r="G14" s="311" t="s">
        <v>102</v>
      </c>
      <c r="H14" s="293" t="s">
        <v>382</v>
      </c>
      <c r="I14" s="303">
        <f>SUM(I57+I99)</f>
        <v>166245</v>
      </c>
      <c r="J14" s="303">
        <f t="shared" si="3"/>
        <v>0</v>
      </c>
      <c r="K14" s="303">
        <f t="shared" si="3"/>
        <v>0</v>
      </c>
      <c r="L14" s="303">
        <f t="shared" si="3"/>
        <v>166245</v>
      </c>
    </row>
    <row r="15" spans="1:12" ht="12.75">
      <c r="A15" s="311" t="s">
        <v>383</v>
      </c>
      <c r="B15" s="293" t="s">
        <v>384</v>
      </c>
      <c r="C15" s="303">
        <f>SUM(C58+C100)</f>
        <v>415161</v>
      </c>
      <c r="D15" s="303">
        <f aca="true" t="shared" si="4" ref="D15:E19">SUM(D58+D100)</f>
        <v>0</v>
      </c>
      <c r="E15" s="303">
        <f t="shared" si="4"/>
        <v>0</v>
      </c>
      <c r="F15" s="320">
        <f t="shared" si="1"/>
        <v>415161</v>
      </c>
      <c r="G15" s="311" t="s">
        <v>103</v>
      </c>
      <c r="H15" s="293" t="s">
        <v>385</v>
      </c>
      <c r="I15" s="303">
        <f>SUM(I58+I100)</f>
        <v>252</v>
      </c>
      <c r="J15" s="303">
        <f t="shared" si="3"/>
        <v>0</v>
      </c>
      <c r="K15" s="303">
        <f t="shared" si="3"/>
        <v>0</v>
      </c>
      <c r="L15" s="303">
        <f t="shared" si="3"/>
        <v>252</v>
      </c>
    </row>
    <row r="16" spans="1:12" ht="12.75">
      <c r="A16" s="311" t="s">
        <v>386</v>
      </c>
      <c r="B16" s="293" t="s">
        <v>387</v>
      </c>
      <c r="C16" s="303">
        <f>SUM(C59+C101)</f>
        <v>882</v>
      </c>
      <c r="D16" s="303">
        <f t="shared" si="4"/>
        <v>0</v>
      </c>
      <c r="E16" s="303">
        <f t="shared" si="4"/>
        <v>0</v>
      </c>
      <c r="F16" s="320">
        <f t="shared" si="1"/>
        <v>882</v>
      </c>
      <c r="G16" s="311" t="s">
        <v>104</v>
      </c>
      <c r="H16" s="293" t="s">
        <v>388</v>
      </c>
      <c r="I16" s="303">
        <f>SUM(I59+I101)</f>
        <v>6274</v>
      </c>
      <c r="J16" s="303">
        <f t="shared" si="3"/>
        <v>0</v>
      </c>
      <c r="K16" s="303">
        <f t="shared" si="3"/>
        <v>0</v>
      </c>
      <c r="L16" s="303">
        <f t="shared" si="3"/>
        <v>6274</v>
      </c>
    </row>
    <row r="17" spans="1:12" ht="12.75">
      <c r="A17" s="311" t="s">
        <v>389</v>
      </c>
      <c r="B17" s="293" t="s">
        <v>390</v>
      </c>
      <c r="C17" s="303">
        <f>SUM(C60+C102)</f>
        <v>192264</v>
      </c>
      <c r="D17" s="303">
        <f t="shared" si="4"/>
        <v>0</v>
      </c>
      <c r="E17" s="303">
        <f t="shared" si="4"/>
        <v>0</v>
      </c>
      <c r="F17" s="320">
        <f t="shared" si="1"/>
        <v>192264</v>
      </c>
      <c r="G17" s="311"/>
      <c r="H17" s="293"/>
      <c r="I17" s="303"/>
      <c r="J17" s="303"/>
      <c r="K17" s="303"/>
      <c r="L17" s="303">
        <f>SUM(L60+L102)</f>
        <v>0</v>
      </c>
    </row>
    <row r="18" spans="1:12" ht="12.75">
      <c r="A18" s="317" t="s">
        <v>391</v>
      </c>
      <c r="B18" s="317" t="s">
        <v>392</v>
      </c>
      <c r="C18" s="303">
        <f>SUM(C61+C103)</f>
        <v>40225</v>
      </c>
      <c r="D18" s="303">
        <f t="shared" si="4"/>
        <v>0</v>
      </c>
      <c r="E18" s="303">
        <f t="shared" si="4"/>
        <v>0</v>
      </c>
      <c r="F18" s="320">
        <f t="shared" si="1"/>
        <v>40225</v>
      </c>
      <c r="G18" s="317" t="s">
        <v>197</v>
      </c>
      <c r="H18" s="317" t="s">
        <v>393</v>
      </c>
      <c r="I18" s="303">
        <f>SUM(I61+I103)</f>
        <v>62861</v>
      </c>
      <c r="J18" s="303">
        <f>SUM(J61+J103)</f>
        <v>0</v>
      </c>
      <c r="K18" s="303">
        <f>SUM(K61+K103)</f>
        <v>0</v>
      </c>
      <c r="L18" s="303">
        <f>SUM(L61+L103)</f>
        <v>62861</v>
      </c>
    </row>
    <row r="19" spans="1:12" ht="12.75">
      <c r="A19" s="317" t="s">
        <v>394</v>
      </c>
      <c r="B19" s="317" t="s">
        <v>395</v>
      </c>
      <c r="C19" s="303">
        <f>SUM(C62+C104)</f>
        <v>0</v>
      </c>
      <c r="D19" s="303">
        <f t="shared" si="4"/>
        <v>0</v>
      </c>
      <c r="E19" s="303">
        <f t="shared" si="4"/>
        <v>0</v>
      </c>
      <c r="F19" s="320">
        <f t="shared" si="1"/>
        <v>0</v>
      </c>
      <c r="G19" s="317" t="s">
        <v>198</v>
      </c>
      <c r="H19" s="317" t="s">
        <v>396</v>
      </c>
      <c r="I19" s="303">
        <f>SUM(I20:I21)</f>
        <v>5000</v>
      </c>
      <c r="J19" s="303">
        <f>SUM(J20:J21)</f>
        <v>0</v>
      </c>
      <c r="K19" s="303">
        <f>SUM(K20:K21)</f>
        <v>275</v>
      </c>
      <c r="L19" s="303">
        <f>SUM(L62+L104)</f>
        <v>5275</v>
      </c>
    </row>
    <row r="20" spans="1:12" ht="12.75">
      <c r="A20" s="311"/>
      <c r="B20" s="293" t="s">
        <v>397</v>
      </c>
      <c r="C20" s="303"/>
      <c r="D20" s="303"/>
      <c r="E20" s="303"/>
      <c r="F20" s="320">
        <f t="shared" si="1"/>
        <v>0</v>
      </c>
      <c r="G20" s="311" t="s">
        <v>100</v>
      </c>
      <c r="H20" s="293" t="s">
        <v>398</v>
      </c>
      <c r="I20" s="303">
        <f>SUM(I63+I105)</f>
        <v>0</v>
      </c>
      <c r="J20" s="303">
        <f aca="true" t="shared" si="5" ref="J20:L21">SUM(J63+J105)</f>
        <v>0</v>
      </c>
      <c r="K20" s="303">
        <f t="shared" si="5"/>
        <v>275</v>
      </c>
      <c r="L20" s="303">
        <f t="shared" si="5"/>
        <v>275</v>
      </c>
    </row>
    <row r="21" spans="1:12" ht="12.75">
      <c r="A21" s="317" t="s">
        <v>399</v>
      </c>
      <c r="B21" s="317" t="s">
        <v>400</v>
      </c>
      <c r="C21" s="320">
        <f aca="true" t="shared" si="6" ref="C21:E22">SUM(C64+C106)</f>
        <v>0</v>
      </c>
      <c r="D21" s="320">
        <f t="shared" si="6"/>
        <v>0</v>
      </c>
      <c r="E21" s="320">
        <f t="shared" si="6"/>
        <v>0</v>
      </c>
      <c r="F21" s="320">
        <f t="shared" si="1"/>
        <v>0</v>
      </c>
      <c r="G21" s="311" t="s">
        <v>101</v>
      </c>
      <c r="H21" s="293" t="s">
        <v>401</v>
      </c>
      <c r="I21" s="303">
        <f>SUM(I64+I106)</f>
        <v>5000</v>
      </c>
      <c r="J21" s="303">
        <f t="shared" si="5"/>
        <v>0</v>
      </c>
      <c r="K21" s="303">
        <f t="shared" si="5"/>
        <v>0</v>
      </c>
      <c r="L21" s="303">
        <f t="shared" si="5"/>
        <v>5000</v>
      </c>
    </row>
    <row r="22" spans="1:12" ht="12.75">
      <c r="A22" s="317" t="s">
        <v>198</v>
      </c>
      <c r="B22" s="317" t="s">
        <v>402</v>
      </c>
      <c r="C22" s="320">
        <f t="shared" si="6"/>
        <v>186</v>
      </c>
      <c r="D22" s="320">
        <f t="shared" si="6"/>
        <v>0</v>
      </c>
      <c r="E22" s="320">
        <f t="shared" si="6"/>
        <v>253</v>
      </c>
      <c r="F22" s="320">
        <f t="shared" si="1"/>
        <v>439</v>
      </c>
      <c r="G22" s="311"/>
      <c r="H22" s="293"/>
      <c r="I22" s="303"/>
      <c r="J22" s="303"/>
      <c r="K22" s="303"/>
      <c r="L22" s="303"/>
    </row>
    <row r="23" spans="1:12" ht="12.75">
      <c r="A23" s="311"/>
      <c r="B23" s="301" t="s">
        <v>403</v>
      </c>
      <c r="C23" s="304">
        <f>SUM(C8+C9+C14+C18+C19+C21+C22)</f>
        <v>986737</v>
      </c>
      <c r="D23" s="304">
        <f>SUM(D8+D9+D14+D18+D19+D21+D22)</f>
        <v>0</v>
      </c>
      <c r="E23" s="304">
        <f>SUM(E8+E9+E14+E18+E19+E21+E22)</f>
        <v>-16094</v>
      </c>
      <c r="F23" s="304">
        <f>SUM(F8+F9+F14+F18+F19+F21+F22)</f>
        <v>970643</v>
      </c>
      <c r="G23" s="311"/>
      <c r="H23" s="301" t="s">
        <v>404</v>
      </c>
      <c r="I23" s="304">
        <f>SUM(I7)</f>
        <v>1150143</v>
      </c>
      <c r="J23" s="304">
        <f>SUM(J7)</f>
        <v>0</v>
      </c>
      <c r="K23" s="304">
        <f>SUM(K7)</f>
        <v>253</v>
      </c>
      <c r="L23" s="304">
        <f>SUM(L7)</f>
        <v>1150396</v>
      </c>
    </row>
    <row r="24" spans="1:12" ht="12.75">
      <c r="A24" s="311"/>
      <c r="B24" s="327" t="s">
        <v>405</v>
      </c>
      <c r="C24" s="328">
        <f>I25-C23</f>
        <v>163406</v>
      </c>
      <c r="D24" s="328">
        <f>J25-D23</f>
        <v>0</v>
      </c>
      <c r="E24" s="328">
        <f>K25-E23</f>
        <v>16347</v>
      </c>
      <c r="F24" s="328">
        <f>L25-F23</f>
        <v>179753</v>
      </c>
      <c r="G24" s="311"/>
      <c r="H24" s="293" t="s">
        <v>406</v>
      </c>
      <c r="I24" s="328">
        <f>SUM(I67,I109)</f>
        <v>0</v>
      </c>
      <c r="J24" s="328">
        <f>SUM(J67,J109)</f>
        <v>0</v>
      </c>
      <c r="K24" s="328">
        <f>SUM(K67,K109)</f>
        <v>0</v>
      </c>
      <c r="L24" s="328">
        <f>SUM(L67,L109)</f>
        <v>0</v>
      </c>
    </row>
    <row r="25" spans="1:12" ht="12.75">
      <c r="A25" s="311"/>
      <c r="B25" s="317" t="s">
        <v>407</v>
      </c>
      <c r="C25" s="303"/>
      <c r="D25" s="303"/>
      <c r="E25" s="303"/>
      <c r="F25" s="303"/>
      <c r="G25" s="311"/>
      <c r="H25" s="301" t="s">
        <v>408</v>
      </c>
      <c r="I25" s="304">
        <f>SUM(I8+I9+I10+I11+I18+I19)</f>
        <v>1150143</v>
      </c>
      <c r="J25" s="304">
        <f>SUM(J8+J9+J10+J11+J18+J19)</f>
        <v>0</v>
      </c>
      <c r="K25" s="304">
        <f>SUM(K8+K9+K10+K11+K18+K19)</f>
        <v>253</v>
      </c>
      <c r="L25" s="304">
        <f>SUM(L8+L9+L10+L11+L18+L19)</f>
        <v>1150396</v>
      </c>
    </row>
    <row r="26" spans="1:12" ht="12.75">
      <c r="A26" s="317" t="s">
        <v>409</v>
      </c>
      <c r="B26" s="317" t="s">
        <v>410</v>
      </c>
      <c r="C26" s="303">
        <f>SUM(C69+C111)</f>
        <v>22451</v>
      </c>
      <c r="D26" s="303">
        <f aca="true" t="shared" si="7" ref="D26:F29">SUM(D69+D111)</f>
        <v>0</v>
      </c>
      <c r="E26" s="303">
        <f t="shared" si="7"/>
        <v>0</v>
      </c>
      <c r="F26" s="303">
        <f t="shared" si="7"/>
        <v>22451</v>
      </c>
      <c r="G26" s="311"/>
      <c r="H26" s="327" t="s">
        <v>411</v>
      </c>
      <c r="I26" s="303"/>
      <c r="J26" s="303"/>
      <c r="K26" s="303"/>
      <c r="L26" s="303"/>
    </row>
    <row r="27" spans="1:12" ht="12.75">
      <c r="A27" s="317" t="s">
        <v>412</v>
      </c>
      <c r="B27" s="317" t="s">
        <v>413</v>
      </c>
      <c r="C27" s="303">
        <f>SUM(C70+C112)</f>
        <v>10000</v>
      </c>
      <c r="D27" s="303">
        <f t="shared" si="7"/>
        <v>0</v>
      </c>
      <c r="E27" s="303">
        <f t="shared" si="7"/>
        <v>0</v>
      </c>
      <c r="F27" s="303">
        <f t="shared" si="7"/>
        <v>10000</v>
      </c>
      <c r="G27" s="311"/>
      <c r="H27" s="317" t="s">
        <v>94</v>
      </c>
      <c r="I27" s="303"/>
      <c r="J27" s="303"/>
      <c r="K27" s="303"/>
      <c r="L27" s="303"/>
    </row>
    <row r="28" spans="1:12" ht="12.75">
      <c r="A28" s="317" t="s">
        <v>414</v>
      </c>
      <c r="B28" s="317" t="s">
        <v>415</v>
      </c>
      <c r="C28" s="303">
        <f>SUM(C71+C113)</f>
        <v>14011</v>
      </c>
      <c r="D28" s="303">
        <f t="shared" si="7"/>
        <v>0</v>
      </c>
      <c r="E28" s="303">
        <f t="shared" si="7"/>
        <v>10394</v>
      </c>
      <c r="F28" s="303">
        <f>SUM(F71+F113)</f>
        <v>24405</v>
      </c>
      <c r="G28" s="317" t="s">
        <v>194</v>
      </c>
      <c r="H28" s="317" t="s">
        <v>416</v>
      </c>
      <c r="I28" s="303">
        <f>SUM(I71+I113)</f>
        <v>26935</v>
      </c>
      <c r="J28" s="303">
        <f>SUM(J71+J113)</f>
        <v>0</v>
      </c>
      <c r="K28" s="303">
        <f>SUM(K71+K113)</f>
        <v>0</v>
      </c>
      <c r="L28" s="303">
        <f>SUM(L71+L113)</f>
        <v>26935</v>
      </c>
    </row>
    <row r="29" spans="1:12" ht="12.75">
      <c r="A29" s="317" t="s">
        <v>417</v>
      </c>
      <c r="B29" s="317" t="s">
        <v>193</v>
      </c>
      <c r="C29" s="303">
        <f>SUM(C72+C114)</f>
        <v>6147</v>
      </c>
      <c r="D29" s="303">
        <f t="shared" si="7"/>
        <v>0</v>
      </c>
      <c r="E29" s="303">
        <f t="shared" si="7"/>
        <v>0</v>
      </c>
      <c r="F29" s="303">
        <f>SUM(F72+F114)</f>
        <v>6147</v>
      </c>
      <c r="G29" s="317" t="s">
        <v>195</v>
      </c>
      <c r="H29" s="317" t="s">
        <v>377</v>
      </c>
      <c r="I29" s="303">
        <f>SUM(I30:I31)</f>
        <v>0</v>
      </c>
      <c r="J29" s="303">
        <f>SUM(J72+J114)</f>
        <v>0</v>
      </c>
      <c r="K29" s="303">
        <f>SUM(K30:K31)</f>
        <v>0</v>
      </c>
      <c r="L29" s="303">
        <f aca="true" t="shared" si="8" ref="L29:L38">SUM(L72+L114)</f>
        <v>0</v>
      </c>
    </row>
    <row r="30" spans="1:12" ht="12.75">
      <c r="A30" s="317" t="s">
        <v>194</v>
      </c>
      <c r="B30" s="317" t="s">
        <v>418</v>
      </c>
      <c r="C30" s="303">
        <f>SUM(C31:C33)</f>
        <v>4000</v>
      </c>
      <c r="D30" s="303">
        <f>SUM(D31:D33)</f>
        <v>0</v>
      </c>
      <c r="E30" s="303">
        <f>SUM(E31:E33)</f>
        <v>5953</v>
      </c>
      <c r="F30" s="303">
        <f>SUM(F73+F115)</f>
        <v>9953</v>
      </c>
      <c r="G30" s="311" t="s">
        <v>100</v>
      </c>
      <c r="H30" s="293" t="s">
        <v>96</v>
      </c>
      <c r="I30" s="303">
        <f>SUM(I73+I115)</f>
        <v>0</v>
      </c>
      <c r="J30" s="303">
        <f>SUM(J73+J115)</f>
        <v>0</v>
      </c>
      <c r="K30" s="303">
        <f>SUM(K73+K115)</f>
        <v>0</v>
      </c>
      <c r="L30" s="303">
        <f t="shared" si="8"/>
        <v>0</v>
      </c>
    </row>
    <row r="31" spans="1:12" ht="12.75">
      <c r="A31" s="311" t="s">
        <v>100</v>
      </c>
      <c r="B31" s="330" t="s">
        <v>419</v>
      </c>
      <c r="C31" s="303">
        <f>SUM(C74+C116)</f>
        <v>0</v>
      </c>
      <c r="D31" s="303">
        <f aca="true" t="shared" si="9" ref="D31:F38">SUM(D74+D116)</f>
        <v>0</v>
      </c>
      <c r="E31" s="303">
        <f t="shared" si="9"/>
        <v>0</v>
      </c>
      <c r="F31" s="303">
        <f t="shared" si="9"/>
        <v>0</v>
      </c>
      <c r="G31" s="311" t="s">
        <v>101</v>
      </c>
      <c r="H31" s="293" t="s">
        <v>420</v>
      </c>
      <c r="I31" s="303">
        <f>SUM(I74+I116)</f>
        <v>0</v>
      </c>
      <c r="J31" s="303">
        <f>SUM(J74+J116)</f>
        <v>0</v>
      </c>
      <c r="K31" s="303">
        <f>SUM(K74+K116)</f>
        <v>0</v>
      </c>
      <c r="L31" s="303">
        <f t="shared" si="8"/>
        <v>0</v>
      </c>
    </row>
    <row r="32" spans="1:12" ht="12.75">
      <c r="A32" s="311" t="s">
        <v>101</v>
      </c>
      <c r="B32" s="330" t="s">
        <v>421</v>
      </c>
      <c r="C32" s="303">
        <f>SUM(C75+C117)</f>
        <v>4000</v>
      </c>
      <c r="D32" s="303">
        <f t="shared" si="9"/>
        <v>0</v>
      </c>
      <c r="E32" s="303">
        <f t="shared" si="9"/>
        <v>5953</v>
      </c>
      <c r="F32" s="303">
        <f t="shared" si="9"/>
        <v>9953</v>
      </c>
      <c r="G32" s="317" t="s">
        <v>196</v>
      </c>
      <c r="H32" s="317" t="s">
        <v>422</v>
      </c>
      <c r="I32" s="303">
        <f>SUM(I33:I35)</f>
        <v>190047</v>
      </c>
      <c r="J32" s="303">
        <f>SUM(J33:J35)</f>
        <v>0</v>
      </c>
      <c r="K32" s="303">
        <f>SUM(K33:K35)</f>
        <v>0</v>
      </c>
      <c r="L32" s="303">
        <f t="shared" si="8"/>
        <v>190047</v>
      </c>
    </row>
    <row r="33" spans="1:12" ht="12.75">
      <c r="A33" s="311" t="s">
        <v>102</v>
      </c>
      <c r="B33" s="330" t="s">
        <v>161</v>
      </c>
      <c r="C33" s="303">
        <f>SUM(C76+C118)</f>
        <v>0</v>
      </c>
      <c r="D33" s="303">
        <f t="shared" si="9"/>
        <v>0</v>
      </c>
      <c r="E33" s="303">
        <f t="shared" si="9"/>
        <v>0</v>
      </c>
      <c r="F33" s="303">
        <f t="shared" si="9"/>
        <v>0</v>
      </c>
      <c r="G33" s="311" t="s">
        <v>100</v>
      </c>
      <c r="H33" s="330" t="s">
        <v>117</v>
      </c>
      <c r="I33" s="303">
        <f aca="true" t="shared" si="10" ref="I33:K36">SUM(I76+I118)</f>
        <v>15875</v>
      </c>
      <c r="J33" s="303">
        <f t="shared" si="10"/>
        <v>0</v>
      </c>
      <c r="K33" s="303">
        <f t="shared" si="10"/>
        <v>0</v>
      </c>
      <c r="L33" s="303">
        <f t="shared" si="8"/>
        <v>15875</v>
      </c>
    </row>
    <row r="34" spans="1:12" ht="12.75">
      <c r="A34" s="317" t="s">
        <v>423</v>
      </c>
      <c r="B34" s="317" t="s">
        <v>424</v>
      </c>
      <c r="C34" s="303">
        <f>SUM(C77+C119)</f>
        <v>52835</v>
      </c>
      <c r="D34" s="303">
        <f t="shared" si="9"/>
        <v>0</v>
      </c>
      <c r="E34" s="303">
        <f t="shared" si="9"/>
        <v>0</v>
      </c>
      <c r="F34" s="303">
        <f t="shared" si="9"/>
        <v>52835</v>
      </c>
      <c r="G34" s="311" t="s">
        <v>101</v>
      </c>
      <c r="H34" s="330" t="s">
        <v>97</v>
      </c>
      <c r="I34" s="303">
        <f t="shared" si="10"/>
        <v>174172</v>
      </c>
      <c r="J34" s="303">
        <f t="shared" si="10"/>
        <v>0</v>
      </c>
      <c r="K34" s="303">
        <f t="shared" si="10"/>
        <v>0</v>
      </c>
      <c r="L34" s="303">
        <f t="shared" si="8"/>
        <v>174172</v>
      </c>
    </row>
    <row r="35" spans="1:12" ht="12.75">
      <c r="A35" s="317" t="s">
        <v>425</v>
      </c>
      <c r="B35" s="317" t="s">
        <v>426</v>
      </c>
      <c r="C35" s="303">
        <f>SUM(C78+C120)</f>
        <v>1073</v>
      </c>
      <c r="D35" s="303">
        <f t="shared" si="9"/>
        <v>0</v>
      </c>
      <c r="E35" s="303">
        <f t="shared" si="9"/>
        <v>0</v>
      </c>
      <c r="F35" s="303">
        <f t="shared" si="9"/>
        <v>1073</v>
      </c>
      <c r="G35" s="311" t="s">
        <v>102</v>
      </c>
      <c r="H35" s="293" t="s">
        <v>163</v>
      </c>
      <c r="I35" s="303">
        <f t="shared" si="10"/>
        <v>0</v>
      </c>
      <c r="J35" s="303">
        <f t="shared" si="10"/>
        <v>0</v>
      </c>
      <c r="K35" s="303">
        <f t="shared" si="10"/>
        <v>0</v>
      </c>
      <c r="L35" s="303">
        <f t="shared" si="8"/>
        <v>0</v>
      </c>
    </row>
    <row r="36" spans="1:12" ht="12.75">
      <c r="A36" s="317" t="s">
        <v>196</v>
      </c>
      <c r="B36" s="317" t="s">
        <v>427</v>
      </c>
      <c r="C36" s="303"/>
      <c r="D36" s="303">
        <f t="shared" si="9"/>
        <v>0</v>
      </c>
      <c r="E36" s="303"/>
      <c r="F36" s="303">
        <f>SUM(F79+F121)</f>
        <v>0</v>
      </c>
      <c r="G36" s="317" t="s">
        <v>197</v>
      </c>
      <c r="H36" s="317" t="s">
        <v>428</v>
      </c>
      <c r="I36" s="303">
        <f t="shared" si="10"/>
        <v>6116</v>
      </c>
      <c r="J36" s="303">
        <f t="shared" si="10"/>
        <v>0</v>
      </c>
      <c r="K36" s="303">
        <f t="shared" si="10"/>
        <v>0</v>
      </c>
      <c r="L36" s="303">
        <f t="shared" si="8"/>
        <v>6116</v>
      </c>
    </row>
    <row r="37" spans="1:12" ht="12.75">
      <c r="A37" s="317" t="s">
        <v>197</v>
      </c>
      <c r="B37" s="317" t="s">
        <v>428</v>
      </c>
      <c r="C37" s="303">
        <f>SUM(C80+C122)</f>
        <v>0</v>
      </c>
      <c r="D37" s="303">
        <f t="shared" si="9"/>
        <v>0</v>
      </c>
      <c r="E37" s="303">
        <f>SUM(E80+E122)</f>
        <v>0</v>
      </c>
      <c r="F37" s="303">
        <f>SUM(F80+F122)</f>
        <v>0</v>
      </c>
      <c r="G37" s="317" t="s">
        <v>198</v>
      </c>
      <c r="H37" s="317" t="s">
        <v>396</v>
      </c>
      <c r="I37" s="303">
        <f>SUM(I80+I122)</f>
        <v>0</v>
      </c>
      <c r="J37" s="303">
        <f>SUM(J38)</f>
        <v>0</v>
      </c>
      <c r="K37" s="303">
        <f>SUM(K80+K122)</f>
        <v>16347</v>
      </c>
      <c r="L37" s="303">
        <f t="shared" si="8"/>
        <v>16347</v>
      </c>
    </row>
    <row r="38" spans="1:12" ht="12.75">
      <c r="A38" s="317" t="s">
        <v>198</v>
      </c>
      <c r="B38" s="317" t="s">
        <v>402</v>
      </c>
      <c r="C38" s="303">
        <f>SUM(C81+C123)</f>
        <v>112581</v>
      </c>
      <c r="D38" s="303">
        <f t="shared" si="9"/>
        <v>0</v>
      </c>
      <c r="E38" s="303">
        <f>SUM(E81+E123)</f>
        <v>0</v>
      </c>
      <c r="F38" s="303">
        <f>SUM(F81+F123)</f>
        <v>112581</v>
      </c>
      <c r="G38" s="311" t="s">
        <v>100</v>
      </c>
      <c r="H38" s="293" t="s">
        <v>398</v>
      </c>
      <c r="I38" s="303">
        <v>0</v>
      </c>
      <c r="J38" s="303">
        <f>SUM(J81+J123)</f>
        <v>0</v>
      </c>
      <c r="K38" s="303">
        <v>0</v>
      </c>
      <c r="L38" s="303">
        <f t="shared" si="8"/>
        <v>16347</v>
      </c>
    </row>
    <row r="39" spans="1:12" ht="12.75">
      <c r="A39" s="311"/>
      <c r="B39" s="301" t="s">
        <v>429</v>
      </c>
      <c r="C39" s="304">
        <f>SUM(C26+C27+C28+C29+C30+C34++C35+C36+C37+C38)</f>
        <v>223098</v>
      </c>
      <c r="D39" s="304">
        <f>SUM(D26+D27+D28+D29+D30+D34+D35+D36+D38+D37)</f>
        <v>0</v>
      </c>
      <c r="E39" s="304">
        <f>SUM(E26+E27+E28+E29+E30+E34++E35+E36+E37+E38)</f>
        <v>16347</v>
      </c>
      <c r="F39" s="304">
        <f>SUM(F26+F27+F28+F29+F30+F34++F35+F36+F37+F38)</f>
        <v>239445</v>
      </c>
      <c r="G39" s="311"/>
      <c r="H39" s="301" t="s">
        <v>430</v>
      </c>
      <c r="I39" s="304">
        <f>SUM(I28+I29+I32+I36+I37)</f>
        <v>223098</v>
      </c>
      <c r="J39" s="304">
        <f>SUM(J28+J29+J32+J36+J37)</f>
        <v>0</v>
      </c>
      <c r="K39" s="304">
        <f>SUM(K28+K29+K32+K36+K37)</f>
        <v>16347</v>
      </c>
      <c r="L39" s="304">
        <f>SUM(L28+L29+L32+L36+L37)</f>
        <v>239445</v>
      </c>
    </row>
    <row r="40" spans="1:12" ht="12.75">
      <c r="A40" s="311"/>
      <c r="B40" s="301" t="s">
        <v>431</v>
      </c>
      <c r="C40" s="304">
        <f>SUM(C23,C39)</f>
        <v>1209835</v>
      </c>
      <c r="D40" s="304">
        <f>SUM(D23,D39)</f>
        <v>0</v>
      </c>
      <c r="E40" s="304">
        <f>SUM(E23,E39)</f>
        <v>253</v>
      </c>
      <c r="F40" s="304">
        <f>SUM(F23,F39)</f>
        <v>1210088</v>
      </c>
      <c r="G40" s="311"/>
      <c r="H40" s="301" t="s">
        <v>432</v>
      </c>
      <c r="I40" s="304">
        <f>SUM(I25,I39)</f>
        <v>1373241</v>
      </c>
      <c r="J40" s="304">
        <f>SUM(J25,J39)</f>
        <v>0</v>
      </c>
      <c r="K40" s="304">
        <f>SUM(K25,K39)</f>
        <v>16600</v>
      </c>
      <c r="L40" s="304">
        <f>SUM(L25,L39)</f>
        <v>1389841</v>
      </c>
    </row>
    <row r="41" spans="1:12" ht="12.75">
      <c r="A41" s="311"/>
      <c r="B41" s="327" t="s">
        <v>433</v>
      </c>
      <c r="C41" s="328"/>
      <c r="D41" s="328"/>
      <c r="E41" s="328"/>
      <c r="F41" s="447"/>
      <c r="G41" s="311"/>
      <c r="H41" s="293" t="s">
        <v>434</v>
      </c>
      <c r="I41" s="303">
        <f>C39-I39</f>
        <v>0</v>
      </c>
      <c r="J41" s="303">
        <f>D39-J39</f>
        <v>0</v>
      </c>
      <c r="K41" s="303">
        <f>E39-K39</f>
        <v>0</v>
      </c>
      <c r="L41" s="303">
        <f>F39-L39</f>
        <v>0</v>
      </c>
    </row>
    <row r="42" spans="1:12" ht="13.5">
      <c r="A42" s="311"/>
      <c r="B42" s="332" t="s">
        <v>435</v>
      </c>
      <c r="C42" s="333">
        <f>SUM(C41+C24)</f>
        <v>163406</v>
      </c>
      <c r="D42" s="333">
        <f>SUM(D41+D24)</f>
        <v>0</v>
      </c>
      <c r="E42" s="333">
        <f>SUM(E41+E24)</f>
        <v>16347</v>
      </c>
      <c r="F42" s="333">
        <f>SUM(F41+F24)</f>
        <v>179753</v>
      </c>
      <c r="G42" s="311"/>
      <c r="H42" s="332" t="s">
        <v>436</v>
      </c>
      <c r="I42" s="320">
        <f>SUM(I24,I41)</f>
        <v>0</v>
      </c>
      <c r="J42" s="303">
        <f>SUM(J24,J41)</f>
        <v>0</v>
      </c>
      <c r="K42" s="320">
        <f>SUM(K24,K41)</f>
        <v>0</v>
      </c>
      <c r="L42" s="320">
        <f>SUM(L24,L41)</f>
        <v>0</v>
      </c>
    </row>
    <row r="43" spans="1:12" ht="12.75">
      <c r="A43" s="311"/>
      <c r="B43" s="301" t="s">
        <v>437</v>
      </c>
      <c r="C43" s="304">
        <f>SUM(C40+C42)</f>
        <v>1373241</v>
      </c>
      <c r="D43" s="304">
        <f>SUM(D40+D42)</f>
        <v>0</v>
      </c>
      <c r="E43" s="304">
        <f>SUM(E40+E42)</f>
        <v>16600</v>
      </c>
      <c r="F43" s="304">
        <f>SUM(F40+F42)</f>
        <v>1389841</v>
      </c>
      <c r="G43" s="311"/>
      <c r="H43" s="301" t="s">
        <v>438</v>
      </c>
      <c r="I43" s="304">
        <f>SUM(I40,I42)</f>
        <v>1373241</v>
      </c>
      <c r="J43" s="304">
        <f>SUM(J40,J42)</f>
        <v>0</v>
      </c>
      <c r="K43" s="304">
        <f>SUM(K40,K42)</f>
        <v>16600</v>
      </c>
      <c r="L43" s="304">
        <f>SUM(L40,L42)</f>
        <v>1389841</v>
      </c>
    </row>
    <row r="44" spans="1:12" ht="12.75">
      <c r="A44" s="564" t="s">
        <v>439</v>
      </c>
      <c r="B44" s="564"/>
      <c r="C44" s="564"/>
      <c r="D44" s="564"/>
      <c r="E44" s="564"/>
      <c r="F44" s="564"/>
      <c r="G44" s="564"/>
      <c r="H44" s="564"/>
      <c r="I44" s="564"/>
      <c r="J44" s="564"/>
      <c r="K44" s="564"/>
      <c r="L44" s="564"/>
    </row>
    <row r="45" spans="1:12" ht="12.75">
      <c r="A45" s="564"/>
      <c r="B45" s="564"/>
      <c r="C45" s="564"/>
      <c r="D45" s="564"/>
      <c r="E45" s="564"/>
      <c r="F45" s="564"/>
      <c r="G45" s="564"/>
      <c r="H45" s="564"/>
      <c r="I45" s="564"/>
      <c r="J45" s="564"/>
      <c r="K45" s="564"/>
      <c r="L45" s="564"/>
    </row>
    <row r="46" spans="1:12" ht="15.75">
      <c r="A46" s="315" t="s">
        <v>440</v>
      </c>
      <c r="B46" s="58"/>
      <c r="C46" s="316"/>
      <c r="D46" s="316"/>
      <c r="E46" s="316"/>
      <c r="F46" s="316"/>
      <c r="G46" s="58"/>
      <c r="H46" s="58"/>
      <c r="I46" s="565" t="s">
        <v>364</v>
      </c>
      <c r="J46" s="566"/>
      <c r="K46" s="566"/>
      <c r="L46" s="566"/>
    </row>
    <row r="47" spans="1:12" ht="12.75" customHeight="1">
      <c r="A47" s="567" t="s">
        <v>365</v>
      </c>
      <c r="B47" s="569" t="s">
        <v>142</v>
      </c>
      <c r="C47" s="571" t="s">
        <v>155</v>
      </c>
      <c r="D47" s="571" t="s">
        <v>52</v>
      </c>
      <c r="E47" s="571" t="s">
        <v>53</v>
      </c>
      <c r="F47" s="571" t="s">
        <v>54</v>
      </c>
      <c r="G47" s="567" t="s">
        <v>365</v>
      </c>
      <c r="H47" s="569" t="s">
        <v>369</v>
      </c>
      <c r="I47" s="571" t="s">
        <v>155</v>
      </c>
      <c r="J47" s="571" t="s">
        <v>52</v>
      </c>
      <c r="K47" s="571" t="s">
        <v>53</v>
      </c>
      <c r="L47" s="571" t="s">
        <v>54</v>
      </c>
    </row>
    <row r="48" spans="1:12" ht="12.75">
      <c r="A48" s="567"/>
      <c r="B48" s="569"/>
      <c r="C48" s="572"/>
      <c r="D48" s="572"/>
      <c r="E48" s="572"/>
      <c r="F48" s="574"/>
      <c r="G48" s="567"/>
      <c r="H48" s="569"/>
      <c r="I48" s="572"/>
      <c r="J48" s="572"/>
      <c r="K48" s="572"/>
      <c r="L48" s="574"/>
    </row>
    <row r="49" spans="1:12" ht="12.75">
      <c r="A49" s="568"/>
      <c r="B49" s="570"/>
      <c r="C49" s="573"/>
      <c r="D49" s="573"/>
      <c r="E49" s="573"/>
      <c r="F49" s="575"/>
      <c r="G49" s="568"/>
      <c r="H49" s="570"/>
      <c r="I49" s="573"/>
      <c r="J49" s="573"/>
      <c r="K49" s="573"/>
      <c r="L49" s="575"/>
    </row>
    <row r="50" spans="1:12" ht="12.75">
      <c r="A50" s="317" t="s">
        <v>88</v>
      </c>
      <c r="B50" s="317" t="s">
        <v>185</v>
      </c>
      <c r="C50" s="318"/>
      <c r="D50" s="318"/>
      <c r="E50" s="318"/>
      <c r="F50" s="318"/>
      <c r="G50" s="317"/>
      <c r="H50" s="317" t="s">
        <v>91</v>
      </c>
      <c r="I50" s="318">
        <f>SUM(I51:I53,I54,I61,I62)</f>
        <v>1568</v>
      </c>
      <c r="J50" s="318">
        <f>SUM(J51:J53,J54,J61,J62)</f>
        <v>0</v>
      </c>
      <c r="K50" s="318">
        <f>SUM(K51:K53,K54,K61,K62)</f>
        <v>253</v>
      </c>
      <c r="L50" s="318">
        <f>SUM(L51:L53,L54,L61,L62)</f>
        <v>1821</v>
      </c>
    </row>
    <row r="51" spans="1:12" ht="12.75">
      <c r="A51" s="311" t="s">
        <v>100</v>
      </c>
      <c r="B51" s="296" t="s">
        <v>370</v>
      </c>
      <c r="C51" s="320">
        <v>0</v>
      </c>
      <c r="D51" s="320">
        <v>0</v>
      </c>
      <c r="E51" s="320">
        <v>0</v>
      </c>
      <c r="F51" s="320">
        <f>SUM(C51:E51)</f>
        <v>0</v>
      </c>
      <c r="G51" s="317" t="s">
        <v>88</v>
      </c>
      <c r="H51" s="317" t="s">
        <v>92</v>
      </c>
      <c r="I51" s="303">
        <v>600</v>
      </c>
      <c r="J51" s="303"/>
      <c r="K51" s="303">
        <f>-80+50</f>
        <v>-30</v>
      </c>
      <c r="L51" s="303">
        <f>SUM(I51:K51)</f>
        <v>570</v>
      </c>
    </row>
    <row r="52" spans="1:12" ht="12.75">
      <c r="A52" s="311" t="s">
        <v>101</v>
      </c>
      <c r="B52" s="296" t="s">
        <v>371</v>
      </c>
      <c r="C52" s="320">
        <v>0</v>
      </c>
      <c r="D52" s="320">
        <v>0</v>
      </c>
      <c r="E52" s="320">
        <v>0</v>
      </c>
      <c r="F52" s="320">
        <f aca="true" t="shared" si="11" ref="F52:F65">SUM(C52:E52)</f>
        <v>0</v>
      </c>
      <c r="G52" s="317" t="s">
        <v>372</v>
      </c>
      <c r="H52" s="317" t="s">
        <v>93</v>
      </c>
      <c r="I52" s="303">
        <v>100</v>
      </c>
      <c r="J52" s="303"/>
      <c r="K52" s="303"/>
      <c r="L52" s="303">
        <f aca="true" t="shared" si="12" ref="L52:L64">SUM(I52:K52)</f>
        <v>100</v>
      </c>
    </row>
    <row r="53" spans="1:12" ht="12.75">
      <c r="A53" s="323" t="s">
        <v>373</v>
      </c>
      <c r="B53" s="293" t="s">
        <v>374</v>
      </c>
      <c r="C53" s="303">
        <v>0</v>
      </c>
      <c r="D53" s="303">
        <v>0</v>
      </c>
      <c r="E53" s="303">
        <v>0</v>
      </c>
      <c r="F53" s="320">
        <f t="shared" si="11"/>
        <v>0</v>
      </c>
      <c r="G53" s="317" t="s">
        <v>194</v>
      </c>
      <c r="H53" s="317" t="s">
        <v>269</v>
      </c>
      <c r="I53" s="303">
        <v>330</v>
      </c>
      <c r="J53" s="303"/>
      <c r="K53" s="303">
        <v>8</v>
      </c>
      <c r="L53" s="303">
        <f t="shared" si="12"/>
        <v>338</v>
      </c>
    </row>
    <row r="54" spans="1:12" ht="12.75">
      <c r="A54" s="323" t="s">
        <v>375</v>
      </c>
      <c r="B54" s="293" t="s">
        <v>376</v>
      </c>
      <c r="C54" s="303"/>
      <c r="D54" s="303"/>
      <c r="E54" s="303"/>
      <c r="F54" s="320">
        <f t="shared" si="11"/>
        <v>0</v>
      </c>
      <c r="G54" s="317" t="s">
        <v>195</v>
      </c>
      <c r="H54" s="317" t="s">
        <v>377</v>
      </c>
      <c r="I54" s="303">
        <f>SUM(I55:I59)</f>
        <v>538</v>
      </c>
      <c r="J54" s="303"/>
      <c r="K54" s="303"/>
      <c r="L54" s="303">
        <f t="shared" si="12"/>
        <v>538</v>
      </c>
    </row>
    <row r="55" spans="1:12" ht="12.75">
      <c r="A55" s="323" t="s">
        <v>378</v>
      </c>
      <c r="B55" s="293" t="s">
        <v>379</v>
      </c>
      <c r="C55" s="303"/>
      <c r="D55" s="303"/>
      <c r="E55" s="303"/>
      <c r="F55" s="320">
        <f t="shared" si="11"/>
        <v>0</v>
      </c>
      <c r="G55" s="311" t="s">
        <v>100</v>
      </c>
      <c r="H55" s="293" t="s">
        <v>96</v>
      </c>
      <c r="I55" s="303">
        <v>320</v>
      </c>
      <c r="J55" s="303"/>
      <c r="K55" s="303"/>
      <c r="L55" s="303">
        <f t="shared" si="12"/>
        <v>320</v>
      </c>
    </row>
    <row r="56" spans="1:12" ht="12.75">
      <c r="A56" s="324" t="s">
        <v>192</v>
      </c>
      <c r="B56" s="317" t="s">
        <v>186</v>
      </c>
      <c r="C56" s="303"/>
      <c r="D56" s="303"/>
      <c r="E56" s="303"/>
      <c r="F56" s="320">
        <f t="shared" si="11"/>
        <v>0</v>
      </c>
      <c r="G56" s="311" t="s">
        <v>101</v>
      </c>
      <c r="H56" s="293" t="s">
        <v>380</v>
      </c>
      <c r="I56" s="303">
        <v>0</v>
      </c>
      <c r="J56" s="303"/>
      <c r="K56" s="303"/>
      <c r="L56" s="303">
        <f t="shared" si="12"/>
        <v>0</v>
      </c>
    </row>
    <row r="57" spans="1:12" ht="12.75">
      <c r="A57" s="311" t="s">
        <v>100</v>
      </c>
      <c r="B57" s="296" t="s">
        <v>381</v>
      </c>
      <c r="C57" s="320">
        <f>SUM(C58:C60)</f>
        <v>882</v>
      </c>
      <c r="D57" s="320">
        <f>SUM(D58:D60)</f>
        <v>0</v>
      </c>
      <c r="E57" s="320">
        <f>SUM(E58:E60)</f>
        <v>0</v>
      </c>
      <c r="F57" s="320">
        <f t="shared" si="11"/>
        <v>882</v>
      </c>
      <c r="G57" s="311" t="s">
        <v>102</v>
      </c>
      <c r="H57" s="293" t="s">
        <v>382</v>
      </c>
      <c r="I57" s="303">
        <v>0</v>
      </c>
      <c r="J57" s="303"/>
      <c r="K57" s="303"/>
      <c r="L57" s="303">
        <f t="shared" si="12"/>
        <v>0</v>
      </c>
    </row>
    <row r="58" spans="1:12" ht="12.75">
      <c r="A58" s="311" t="s">
        <v>383</v>
      </c>
      <c r="B58" s="293" t="s">
        <v>384</v>
      </c>
      <c r="C58" s="303">
        <v>0</v>
      </c>
      <c r="D58" s="303">
        <v>0</v>
      </c>
      <c r="E58" s="303">
        <v>0</v>
      </c>
      <c r="F58" s="320">
        <f t="shared" si="11"/>
        <v>0</v>
      </c>
      <c r="G58" s="311" t="s">
        <v>103</v>
      </c>
      <c r="H58" s="293" t="s">
        <v>385</v>
      </c>
      <c r="I58" s="303">
        <v>0</v>
      </c>
      <c r="J58" s="303"/>
      <c r="K58" s="303"/>
      <c r="L58" s="303">
        <f t="shared" si="12"/>
        <v>0</v>
      </c>
    </row>
    <row r="59" spans="1:12" ht="12.75">
      <c r="A59" s="311" t="s">
        <v>386</v>
      </c>
      <c r="B59" s="293" t="s">
        <v>387</v>
      </c>
      <c r="C59" s="303">
        <v>882</v>
      </c>
      <c r="D59" s="303"/>
      <c r="E59" s="303"/>
      <c r="F59" s="320">
        <f t="shared" si="11"/>
        <v>882</v>
      </c>
      <c r="G59" s="311" t="s">
        <v>104</v>
      </c>
      <c r="H59" s="293" t="s">
        <v>388</v>
      </c>
      <c r="I59" s="303">
        <v>218</v>
      </c>
      <c r="J59" s="303"/>
      <c r="K59" s="303"/>
      <c r="L59" s="303">
        <f t="shared" si="12"/>
        <v>218</v>
      </c>
    </row>
    <row r="60" spans="1:12" ht="12.75">
      <c r="A60" s="311" t="s">
        <v>389</v>
      </c>
      <c r="B60" s="293" t="s">
        <v>390</v>
      </c>
      <c r="C60" s="303">
        <v>0</v>
      </c>
      <c r="D60" s="303"/>
      <c r="E60" s="303"/>
      <c r="F60" s="320">
        <f t="shared" si="11"/>
        <v>0</v>
      </c>
      <c r="G60" s="311"/>
      <c r="H60" s="293"/>
      <c r="I60" s="303"/>
      <c r="J60" s="303"/>
      <c r="K60" s="303"/>
      <c r="L60" s="303">
        <f t="shared" si="12"/>
        <v>0</v>
      </c>
    </row>
    <row r="61" spans="1:12" ht="12.75">
      <c r="A61" s="317" t="s">
        <v>391</v>
      </c>
      <c r="B61" s="317" t="s">
        <v>392</v>
      </c>
      <c r="C61" s="303">
        <v>500</v>
      </c>
      <c r="D61" s="303"/>
      <c r="E61" s="303"/>
      <c r="F61" s="320">
        <f t="shared" si="11"/>
        <v>500</v>
      </c>
      <c r="G61" s="317" t="s">
        <v>197</v>
      </c>
      <c r="H61" s="317" t="s">
        <v>393</v>
      </c>
      <c r="I61" s="303"/>
      <c r="J61" s="303"/>
      <c r="K61" s="303"/>
      <c r="L61" s="303">
        <f t="shared" si="12"/>
        <v>0</v>
      </c>
    </row>
    <row r="62" spans="1:12" ht="12.75">
      <c r="A62" s="317" t="s">
        <v>394</v>
      </c>
      <c r="B62" s="317" t="s">
        <v>395</v>
      </c>
      <c r="C62" s="303"/>
      <c r="D62" s="303"/>
      <c r="E62" s="303"/>
      <c r="F62" s="320">
        <f t="shared" si="11"/>
        <v>0</v>
      </c>
      <c r="G62" s="317" t="s">
        <v>198</v>
      </c>
      <c r="H62" s="317" t="s">
        <v>396</v>
      </c>
      <c r="I62" s="303">
        <f>SUM(I63:I65)</f>
        <v>0</v>
      </c>
      <c r="J62" s="303">
        <f>SUM(J63:J65)</f>
        <v>0</v>
      </c>
      <c r="K62" s="303">
        <f>SUM(K63:K65)</f>
        <v>275</v>
      </c>
      <c r="L62" s="303">
        <f t="shared" si="12"/>
        <v>275</v>
      </c>
    </row>
    <row r="63" spans="1:12" ht="12.75">
      <c r="A63" s="311"/>
      <c r="B63" s="293" t="s">
        <v>397</v>
      </c>
      <c r="C63" s="303"/>
      <c r="D63" s="303"/>
      <c r="E63" s="303"/>
      <c r="F63" s="320">
        <f t="shared" si="11"/>
        <v>0</v>
      </c>
      <c r="G63" s="311" t="s">
        <v>100</v>
      </c>
      <c r="H63" s="293" t="s">
        <v>398</v>
      </c>
      <c r="I63" s="303"/>
      <c r="J63" s="303"/>
      <c r="K63" s="303">
        <v>275</v>
      </c>
      <c r="L63" s="303">
        <f t="shared" si="12"/>
        <v>275</v>
      </c>
    </row>
    <row r="64" spans="1:12" ht="12.75">
      <c r="A64" s="317" t="s">
        <v>399</v>
      </c>
      <c r="B64" s="317" t="s">
        <v>400</v>
      </c>
      <c r="C64" s="320">
        <v>0</v>
      </c>
      <c r="D64" s="320"/>
      <c r="E64" s="320">
        <v>0</v>
      </c>
      <c r="F64" s="320">
        <f t="shared" si="11"/>
        <v>0</v>
      </c>
      <c r="G64" s="311" t="s">
        <v>101</v>
      </c>
      <c r="H64" s="293" t="s">
        <v>401</v>
      </c>
      <c r="I64" s="303"/>
      <c r="J64" s="303"/>
      <c r="K64" s="303"/>
      <c r="L64" s="303">
        <f t="shared" si="12"/>
        <v>0</v>
      </c>
    </row>
    <row r="65" spans="1:12" ht="12.75">
      <c r="A65" s="317" t="s">
        <v>198</v>
      </c>
      <c r="B65" s="317" t="s">
        <v>402</v>
      </c>
      <c r="C65" s="303">
        <v>186</v>
      </c>
      <c r="D65" s="303"/>
      <c r="E65" s="303">
        <v>253</v>
      </c>
      <c r="F65" s="320">
        <f t="shared" si="11"/>
        <v>439</v>
      </c>
      <c r="G65" s="311"/>
      <c r="H65" s="293"/>
      <c r="I65" s="303"/>
      <c r="J65" s="303"/>
      <c r="K65" s="303"/>
      <c r="L65" s="303"/>
    </row>
    <row r="66" spans="1:12" ht="12.75">
      <c r="A66" s="311"/>
      <c r="B66" s="301" t="s">
        <v>403</v>
      </c>
      <c r="C66" s="304">
        <f>SUM(C51+C52+C57+C61+C62+C64+C65)</f>
        <v>1568</v>
      </c>
      <c r="D66" s="304">
        <f>SUM(D51+D52+D57+D61+D62+D64+D65)</f>
        <v>0</v>
      </c>
      <c r="E66" s="304">
        <f>SUM(E51+E52+E57+E61+E62+E64+E65)</f>
        <v>253</v>
      </c>
      <c r="F66" s="304">
        <f>SUM(F51+F52+F57+F61+F62+F64+F65)</f>
        <v>1821</v>
      </c>
      <c r="G66" s="311"/>
      <c r="H66" s="301" t="s">
        <v>404</v>
      </c>
      <c r="I66" s="304">
        <f>SUM(I50)</f>
        <v>1568</v>
      </c>
      <c r="J66" s="304">
        <f>SUM(J50)</f>
        <v>0</v>
      </c>
      <c r="K66" s="304">
        <f>SUM(K50)</f>
        <v>253</v>
      </c>
      <c r="L66" s="304">
        <f>SUM(L50)</f>
        <v>1821</v>
      </c>
    </row>
    <row r="67" spans="1:12" ht="12.75">
      <c r="A67" s="311"/>
      <c r="B67" s="327" t="s">
        <v>405</v>
      </c>
      <c r="C67" s="328"/>
      <c r="D67" s="328"/>
      <c r="E67" s="328"/>
      <c r="F67" s="328"/>
      <c r="G67" s="311"/>
      <c r="H67" s="293" t="s">
        <v>406</v>
      </c>
      <c r="I67" s="328"/>
      <c r="J67" s="328"/>
      <c r="K67" s="328"/>
      <c r="L67" s="303"/>
    </row>
    <row r="68" spans="1:12" ht="12.75">
      <c r="A68" s="311"/>
      <c r="B68" s="317" t="s">
        <v>407</v>
      </c>
      <c r="C68" s="303"/>
      <c r="D68" s="303"/>
      <c r="E68" s="303"/>
      <c r="F68" s="303"/>
      <c r="G68" s="311"/>
      <c r="H68" s="301" t="s">
        <v>408</v>
      </c>
      <c r="I68" s="304">
        <f>SUM(I50)</f>
        <v>1568</v>
      </c>
      <c r="J68" s="304">
        <f>SUM(J50)</f>
        <v>0</v>
      </c>
      <c r="K68" s="304">
        <f>SUM(K50)</f>
        <v>253</v>
      </c>
      <c r="L68" s="304">
        <f>SUM(L50)</f>
        <v>1821</v>
      </c>
    </row>
    <row r="69" spans="1:12" ht="12.75">
      <c r="A69" s="317" t="s">
        <v>409</v>
      </c>
      <c r="B69" s="317" t="s">
        <v>410</v>
      </c>
      <c r="C69" s="303"/>
      <c r="D69" s="303"/>
      <c r="E69" s="303"/>
      <c r="F69" s="303"/>
      <c r="G69" s="311"/>
      <c r="H69" s="327" t="s">
        <v>411</v>
      </c>
      <c r="I69" s="303">
        <f>C66-I68</f>
        <v>0</v>
      </c>
      <c r="J69" s="303">
        <f>D66-J68</f>
        <v>0</v>
      </c>
      <c r="K69" s="303">
        <f>E66-K68</f>
        <v>0</v>
      </c>
      <c r="L69" s="303"/>
    </row>
    <row r="70" spans="1:12" ht="12.75">
      <c r="A70" s="317" t="s">
        <v>412</v>
      </c>
      <c r="B70" s="317" t="s">
        <v>413</v>
      </c>
      <c r="C70" s="303"/>
      <c r="D70" s="303"/>
      <c r="E70" s="303"/>
      <c r="F70" s="303"/>
      <c r="G70" s="311"/>
      <c r="H70" s="317" t="s">
        <v>94</v>
      </c>
      <c r="I70" s="303"/>
      <c r="J70" s="303"/>
      <c r="K70" s="303"/>
      <c r="L70" s="303"/>
    </row>
    <row r="71" spans="1:12" ht="12.75">
      <c r="A71" s="317" t="s">
        <v>414</v>
      </c>
      <c r="B71" s="317" t="s">
        <v>415</v>
      </c>
      <c r="C71" s="303"/>
      <c r="D71" s="303"/>
      <c r="E71" s="303"/>
      <c r="F71" s="303"/>
      <c r="G71" s="317" t="s">
        <v>194</v>
      </c>
      <c r="H71" s="317" t="s">
        <v>416</v>
      </c>
      <c r="I71" s="303"/>
      <c r="J71" s="303"/>
      <c r="K71" s="303"/>
      <c r="L71" s="303"/>
    </row>
    <row r="72" spans="1:12" ht="12.75">
      <c r="A72" s="317" t="s">
        <v>417</v>
      </c>
      <c r="B72" s="317" t="s">
        <v>193</v>
      </c>
      <c r="C72" s="303"/>
      <c r="D72" s="303"/>
      <c r="E72" s="303"/>
      <c r="F72" s="303"/>
      <c r="G72" s="317" t="s">
        <v>195</v>
      </c>
      <c r="H72" s="317" t="s">
        <v>377</v>
      </c>
      <c r="I72" s="303"/>
      <c r="J72" s="303"/>
      <c r="K72" s="303"/>
      <c r="L72" s="303"/>
    </row>
    <row r="73" spans="1:12" ht="12.75">
      <c r="A73" s="317" t="s">
        <v>194</v>
      </c>
      <c r="B73" s="317" t="s">
        <v>418</v>
      </c>
      <c r="C73" s="303"/>
      <c r="D73" s="303"/>
      <c r="E73" s="303"/>
      <c r="F73" s="303"/>
      <c r="G73" s="311" t="s">
        <v>100</v>
      </c>
      <c r="H73" s="293" t="s">
        <v>96</v>
      </c>
      <c r="I73" s="303"/>
      <c r="J73" s="303"/>
      <c r="K73" s="303"/>
      <c r="L73" s="303"/>
    </row>
    <row r="74" spans="1:12" ht="12.75">
      <c r="A74" s="311" t="s">
        <v>100</v>
      </c>
      <c r="B74" s="330" t="s">
        <v>419</v>
      </c>
      <c r="C74" s="303"/>
      <c r="D74" s="303"/>
      <c r="E74" s="303"/>
      <c r="F74" s="303"/>
      <c r="G74" s="311" t="s">
        <v>101</v>
      </c>
      <c r="H74" s="293" t="s">
        <v>420</v>
      </c>
      <c r="I74" s="303"/>
      <c r="J74" s="303"/>
      <c r="K74" s="303"/>
      <c r="L74" s="303"/>
    </row>
    <row r="75" spans="1:12" ht="12.75">
      <c r="A75" s="311" t="s">
        <v>101</v>
      </c>
      <c r="B75" s="330" t="s">
        <v>421</v>
      </c>
      <c r="C75" s="303"/>
      <c r="D75" s="303"/>
      <c r="E75" s="303"/>
      <c r="F75" s="303"/>
      <c r="G75" s="317" t="s">
        <v>196</v>
      </c>
      <c r="H75" s="317" t="s">
        <v>422</v>
      </c>
      <c r="I75" s="303"/>
      <c r="J75" s="303"/>
      <c r="K75" s="303"/>
      <c r="L75" s="303"/>
    </row>
    <row r="76" spans="1:12" ht="12.75">
      <c r="A76" s="311" t="s">
        <v>102</v>
      </c>
      <c r="B76" s="330" t="s">
        <v>161</v>
      </c>
      <c r="C76" s="303"/>
      <c r="D76" s="303"/>
      <c r="E76" s="303"/>
      <c r="F76" s="303"/>
      <c r="G76" s="311" t="s">
        <v>100</v>
      </c>
      <c r="H76" s="330" t="s">
        <v>117</v>
      </c>
      <c r="I76" s="303"/>
      <c r="J76" s="303"/>
      <c r="K76" s="303"/>
      <c r="L76" s="303"/>
    </row>
    <row r="77" spans="1:12" ht="12.75">
      <c r="A77" s="317" t="s">
        <v>423</v>
      </c>
      <c r="B77" s="317" t="s">
        <v>424</v>
      </c>
      <c r="C77" s="303"/>
      <c r="D77" s="303"/>
      <c r="E77" s="303"/>
      <c r="F77" s="303"/>
      <c r="G77" s="311" t="s">
        <v>101</v>
      </c>
      <c r="H77" s="330" t="s">
        <v>97</v>
      </c>
      <c r="I77" s="303"/>
      <c r="J77" s="303"/>
      <c r="K77" s="303"/>
      <c r="L77" s="303"/>
    </row>
    <row r="78" spans="1:12" ht="12.75">
      <c r="A78" s="317" t="s">
        <v>425</v>
      </c>
      <c r="B78" s="317" t="s">
        <v>426</v>
      </c>
      <c r="C78" s="303"/>
      <c r="D78" s="303"/>
      <c r="E78" s="303"/>
      <c r="F78" s="303"/>
      <c r="G78" s="311" t="s">
        <v>102</v>
      </c>
      <c r="H78" s="293" t="s">
        <v>163</v>
      </c>
      <c r="I78" s="303"/>
      <c r="J78" s="303"/>
      <c r="K78" s="303"/>
      <c r="L78" s="303"/>
    </row>
    <row r="79" spans="1:12" ht="12.75">
      <c r="A79" s="317" t="s">
        <v>196</v>
      </c>
      <c r="B79" s="317" t="s">
        <v>427</v>
      </c>
      <c r="C79" s="303"/>
      <c r="D79" s="303"/>
      <c r="E79" s="303"/>
      <c r="F79" s="303"/>
      <c r="G79" s="317" t="s">
        <v>197</v>
      </c>
      <c r="H79" s="317" t="s">
        <v>428</v>
      </c>
      <c r="I79" s="303"/>
      <c r="J79" s="303"/>
      <c r="K79" s="303"/>
      <c r="L79" s="303"/>
    </row>
    <row r="80" spans="1:12" ht="12.75">
      <c r="A80" s="317" t="s">
        <v>197</v>
      </c>
      <c r="B80" s="317" t="s">
        <v>428</v>
      </c>
      <c r="C80" s="303"/>
      <c r="D80" s="303"/>
      <c r="E80" s="303"/>
      <c r="F80" s="303"/>
      <c r="G80" s="317" t="s">
        <v>198</v>
      </c>
      <c r="H80" s="317" t="s">
        <v>396</v>
      </c>
      <c r="I80" s="303"/>
      <c r="J80" s="303"/>
      <c r="K80" s="303"/>
      <c r="L80" s="303"/>
    </row>
    <row r="81" spans="1:12" ht="12.75">
      <c r="A81" s="317" t="s">
        <v>198</v>
      </c>
      <c r="B81" s="317" t="s">
        <v>402</v>
      </c>
      <c r="C81" s="303"/>
      <c r="D81" s="303"/>
      <c r="E81" s="303"/>
      <c r="F81" s="303"/>
      <c r="G81" s="311" t="s">
        <v>100</v>
      </c>
      <c r="H81" s="293" t="s">
        <v>398</v>
      </c>
      <c r="I81" s="303"/>
      <c r="J81" s="303"/>
      <c r="K81" s="303"/>
      <c r="L81" s="303"/>
    </row>
    <row r="82" spans="1:12" ht="12.75">
      <c r="A82" s="311"/>
      <c r="B82" s="301" t="s">
        <v>429</v>
      </c>
      <c r="C82" s="304">
        <f>SUM(C79:C81)</f>
        <v>0</v>
      </c>
      <c r="D82" s="304">
        <f>SUM(D79:D81)</f>
        <v>0</v>
      </c>
      <c r="E82" s="304">
        <f>SUM(E79:E81)</f>
        <v>0</v>
      </c>
      <c r="F82" s="304">
        <f>SUM(F79:F81)</f>
        <v>0</v>
      </c>
      <c r="G82" s="311" t="s">
        <v>441</v>
      </c>
      <c r="H82" s="301" t="s">
        <v>430</v>
      </c>
      <c r="I82" s="304">
        <f>SUM(I79:I81)</f>
        <v>0</v>
      </c>
      <c r="J82" s="304">
        <f>SUM(J79:J81)</f>
        <v>0</v>
      </c>
      <c r="K82" s="304">
        <f>SUM(K79:K81)</f>
        <v>0</v>
      </c>
      <c r="L82" s="304">
        <f>SUM(L79:L81)</f>
        <v>0</v>
      </c>
    </row>
    <row r="83" spans="1:12" ht="12.75">
      <c r="A83" s="311"/>
      <c r="B83" s="327" t="s">
        <v>433</v>
      </c>
      <c r="C83" s="328"/>
      <c r="D83" s="328">
        <f>J82-D82</f>
        <v>0</v>
      </c>
      <c r="E83" s="328"/>
      <c r="F83" s="447"/>
      <c r="G83" s="311" t="s">
        <v>442</v>
      </c>
      <c r="H83" s="293" t="s">
        <v>434</v>
      </c>
      <c r="I83" s="303">
        <f>C82-I82</f>
        <v>0</v>
      </c>
      <c r="J83" s="303"/>
      <c r="K83" s="303">
        <f>E82-K82</f>
        <v>0</v>
      </c>
      <c r="L83" s="303"/>
    </row>
    <row r="84" spans="1:12" ht="13.5">
      <c r="A84" s="311"/>
      <c r="B84" s="332" t="s">
        <v>435</v>
      </c>
      <c r="C84" s="333">
        <f>SUM(C83+C67)</f>
        <v>0</v>
      </c>
      <c r="D84" s="333">
        <f>SUM(D83+D67)</f>
        <v>0</v>
      </c>
      <c r="E84" s="333">
        <f>SUM(E83+E67)</f>
        <v>0</v>
      </c>
      <c r="F84" s="313"/>
      <c r="G84" s="311" t="s">
        <v>443</v>
      </c>
      <c r="H84" s="332" t="s">
        <v>436</v>
      </c>
      <c r="I84" s="303">
        <f>SUM(I69,I83)</f>
        <v>0</v>
      </c>
      <c r="J84" s="303">
        <f>SUM(J69,J83)</f>
        <v>0</v>
      </c>
      <c r="K84" s="303">
        <f>SUM(K69,K83)</f>
        <v>0</v>
      </c>
      <c r="L84" s="303"/>
    </row>
    <row r="85" spans="1:12" ht="12.75">
      <c r="A85" s="311"/>
      <c r="B85" s="301" t="s">
        <v>444</v>
      </c>
      <c r="C85" s="304">
        <f>SUM(C82+C66+C84)</f>
        <v>1568</v>
      </c>
      <c r="D85" s="304">
        <f>SUM(D82+D66+D84)</f>
        <v>0</v>
      </c>
      <c r="E85" s="304">
        <f>SUM(E82+E66+E84)</f>
        <v>253</v>
      </c>
      <c r="F85" s="304">
        <f>SUM(F82+F66+F84)</f>
        <v>1821</v>
      </c>
      <c r="G85" s="311" t="s">
        <v>445</v>
      </c>
      <c r="H85" s="301" t="s">
        <v>444</v>
      </c>
      <c r="I85" s="304">
        <f>SUM(I68,I82,I84)</f>
        <v>1568</v>
      </c>
      <c r="J85" s="304">
        <f>SUM(J68,J82,J84)</f>
        <v>0</v>
      </c>
      <c r="K85" s="304">
        <f>SUM(K68,K82,K84)</f>
        <v>253</v>
      </c>
      <c r="L85" s="304">
        <f>SUM(L68,L82,L84)</f>
        <v>1821</v>
      </c>
    </row>
    <row r="86" spans="1:12" ht="12.75">
      <c r="A86" s="564" t="s">
        <v>446</v>
      </c>
      <c r="B86" s="564"/>
      <c r="C86" s="564"/>
      <c r="D86" s="564"/>
      <c r="E86" s="564"/>
      <c r="F86" s="564"/>
      <c r="G86" s="564"/>
      <c r="H86" s="564"/>
      <c r="I86" s="564"/>
      <c r="J86" s="564"/>
      <c r="K86" s="564"/>
      <c r="L86" s="564"/>
    </row>
    <row r="87" spans="1:12" ht="12.75">
      <c r="A87" s="564"/>
      <c r="B87" s="564"/>
      <c r="C87" s="564"/>
      <c r="D87" s="564"/>
      <c r="E87" s="564"/>
      <c r="F87" s="564"/>
      <c r="G87" s="564"/>
      <c r="H87" s="564"/>
      <c r="I87" s="564"/>
      <c r="J87" s="564"/>
      <c r="K87" s="564"/>
      <c r="L87" s="564"/>
    </row>
    <row r="88" spans="1:12" ht="15.75">
      <c r="A88" s="315" t="s">
        <v>447</v>
      </c>
      <c r="B88" s="58"/>
      <c r="C88" s="316"/>
      <c r="D88" s="316"/>
      <c r="E88" s="316"/>
      <c r="F88" s="316"/>
      <c r="G88" s="58"/>
      <c r="H88" s="58"/>
      <c r="I88" s="565" t="s">
        <v>364</v>
      </c>
      <c r="J88" s="566"/>
      <c r="K88" s="566"/>
      <c r="L88" s="566"/>
    </row>
    <row r="89" spans="1:12" ht="12.75" customHeight="1">
      <c r="A89" s="567" t="s">
        <v>365</v>
      </c>
      <c r="B89" s="569" t="s">
        <v>142</v>
      </c>
      <c r="C89" s="571" t="s">
        <v>155</v>
      </c>
      <c r="D89" s="571" t="s">
        <v>52</v>
      </c>
      <c r="E89" s="571" t="s">
        <v>53</v>
      </c>
      <c r="F89" s="571" t="s">
        <v>54</v>
      </c>
      <c r="G89" s="567" t="s">
        <v>365</v>
      </c>
      <c r="H89" s="569" t="s">
        <v>369</v>
      </c>
      <c r="I89" s="571" t="s">
        <v>155</v>
      </c>
      <c r="J89" s="571" t="s">
        <v>52</v>
      </c>
      <c r="K89" s="571" t="s">
        <v>53</v>
      </c>
      <c r="L89" s="571" t="s">
        <v>54</v>
      </c>
    </row>
    <row r="90" spans="1:12" ht="12.75">
      <c r="A90" s="567"/>
      <c r="B90" s="569"/>
      <c r="C90" s="572"/>
      <c r="D90" s="572"/>
      <c r="E90" s="572"/>
      <c r="F90" s="574"/>
      <c r="G90" s="567"/>
      <c r="H90" s="569"/>
      <c r="I90" s="572"/>
      <c r="J90" s="572"/>
      <c r="K90" s="572"/>
      <c r="L90" s="574"/>
    </row>
    <row r="91" spans="1:12" ht="12.75">
      <c r="A91" s="568"/>
      <c r="B91" s="570"/>
      <c r="C91" s="573"/>
      <c r="D91" s="573"/>
      <c r="E91" s="573"/>
      <c r="F91" s="575"/>
      <c r="G91" s="568"/>
      <c r="H91" s="570"/>
      <c r="I91" s="573"/>
      <c r="J91" s="573"/>
      <c r="K91" s="573"/>
      <c r="L91" s="575"/>
    </row>
    <row r="92" spans="1:12" ht="12.75">
      <c r="A92" s="317" t="s">
        <v>88</v>
      </c>
      <c r="B92" s="317" t="s">
        <v>185</v>
      </c>
      <c r="C92" s="318"/>
      <c r="D92" s="318"/>
      <c r="E92" s="318"/>
      <c r="F92" s="318"/>
      <c r="G92" s="317"/>
      <c r="H92" s="317" t="s">
        <v>91</v>
      </c>
      <c r="I92" s="318">
        <f>SUM(I93:I95,I96,I103,I104)</f>
        <v>1148575</v>
      </c>
      <c r="J92" s="318">
        <f>SUM(J93:J95,J96,J103,J104)</f>
        <v>0</v>
      </c>
      <c r="K92" s="318">
        <f>SUM(K93:K95,K96,K103,K104)</f>
        <v>0</v>
      </c>
      <c r="L92" s="320">
        <f aca="true" t="shared" si="13" ref="J92:L95">SUM(L134+L176+L218+L260+L302+L344+L386)</f>
        <v>1148575</v>
      </c>
    </row>
    <row r="93" spans="1:12" ht="12.75">
      <c r="A93" s="311" t="s">
        <v>100</v>
      </c>
      <c r="B93" s="296" t="s">
        <v>370</v>
      </c>
      <c r="C93" s="320">
        <f>SUM(C135+C177+C219+C261+C303+C345+C387)</f>
        <v>56599</v>
      </c>
      <c r="D93" s="320">
        <f>SUM(D135+D177+D219+D261+D303+D345+D387)</f>
        <v>0</v>
      </c>
      <c r="E93" s="320">
        <f>SUM(E135+E177+E219+E261+E303+E345+E387)</f>
        <v>-5953</v>
      </c>
      <c r="F93" s="320">
        <f>SUM(F135+F177+F219+F261+F303+F345+F387)</f>
        <v>50646</v>
      </c>
      <c r="G93" s="317" t="s">
        <v>88</v>
      </c>
      <c r="H93" s="317" t="s">
        <v>92</v>
      </c>
      <c r="I93" s="303">
        <f>SUM(I135+I177+I219+I261+I303+I345+I387)</f>
        <v>487260</v>
      </c>
      <c r="J93" s="303">
        <f t="shared" si="13"/>
        <v>0</v>
      </c>
      <c r="K93" s="303">
        <f t="shared" si="13"/>
        <v>0</v>
      </c>
      <c r="L93" s="303">
        <f t="shared" si="13"/>
        <v>487260</v>
      </c>
    </row>
    <row r="94" spans="1:12" ht="12.75">
      <c r="A94" s="311" t="s">
        <v>101</v>
      </c>
      <c r="B94" s="296" t="s">
        <v>371</v>
      </c>
      <c r="C94" s="320">
        <f>SUM(C95:C97)</f>
        <v>281420</v>
      </c>
      <c r="D94" s="320">
        <f>SUM(D95:D97)</f>
        <v>0</v>
      </c>
      <c r="E94" s="320">
        <f>SUM(E95:E97)</f>
        <v>-10394</v>
      </c>
      <c r="F94" s="320">
        <f aca="true" t="shared" si="14" ref="F94:F107">SUM(F136+F178+F220+F262+F304+F346+F388)</f>
        <v>271026</v>
      </c>
      <c r="G94" s="317" t="s">
        <v>372</v>
      </c>
      <c r="H94" s="317" t="s">
        <v>93</v>
      </c>
      <c r="I94" s="303">
        <f>SUM(I136+I178+I220+I262+I304+I346+I388)</f>
        <v>151557</v>
      </c>
      <c r="J94" s="303">
        <f t="shared" si="13"/>
        <v>0</v>
      </c>
      <c r="K94" s="303">
        <f t="shared" si="13"/>
        <v>0</v>
      </c>
      <c r="L94" s="303">
        <f aca="true" t="shared" si="15" ref="L94:L106">SUM(L136+L178+L220+L262+L304+L346+L388)</f>
        <v>151557</v>
      </c>
    </row>
    <row r="95" spans="1:12" ht="12.75">
      <c r="A95" s="323" t="s">
        <v>373</v>
      </c>
      <c r="B95" s="293" t="s">
        <v>374</v>
      </c>
      <c r="C95" s="303">
        <f>SUM(C137+C179+C221+C263+C305+C347+C389)</f>
        <v>66800</v>
      </c>
      <c r="D95" s="303">
        <f aca="true" t="shared" si="16" ref="D95:E97">SUM(D137+D179+D221+D263+D305+D347+D389)</f>
        <v>0</v>
      </c>
      <c r="E95" s="303">
        <f t="shared" si="16"/>
        <v>0</v>
      </c>
      <c r="F95" s="320">
        <f t="shared" si="14"/>
        <v>66800</v>
      </c>
      <c r="G95" s="317" t="s">
        <v>194</v>
      </c>
      <c r="H95" s="317" t="s">
        <v>269</v>
      </c>
      <c r="I95" s="303">
        <f>SUM(I137+I179+I221+I263+I305+I347+I389)</f>
        <v>235016</v>
      </c>
      <c r="J95" s="303">
        <f t="shared" si="13"/>
        <v>0</v>
      </c>
      <c r="K95" s="303">
        <f t="shared" si="13"/>
        <v>0</v>
      </c>
      <c r="L95" s="303">
        <f t="shared" si="15"/>
        <v>235016</v>
      </c>
    </row>
    <row r="96" spans="1:12" ht="12.75">
      <c r="A96" s="323" t="s">
        <v>375</v>
      </c>
      <c r="B96" s="293" t="s">
        <v>376</v>
      </c>
      <c r="C96" s="303">
        <f>SUM(C138+C180+C222+C264+C306+C348+C390)</f>
        <v>211620</v>
      </c>
      <c r="D96" s="303">
        <f t="shared" si="16"/>
        <v>0</v>
      </c>
      <c r="E96" s="303">
        <f t="shared" si="16"/>
        <v>-10394</v>
      </c>
      <c r="F96" s="320">
        <f t="shared" si="14"/>
        <v>201226</v>
      </c>
      <c r="G96" s="317" t="s">
        <v>195</v>
      </c>
      <c r="H96" s="317" t="s">
        <v>377</v>
      </c>
      <c r="I96" s="303">
        <f>SUM(I97:I101)</f>
        <v>206881</v>
      </c>
      <c r="J96" s="303">
        <f>SUM(J97:J101)</f>
        <v>0</v>
      </c>
      <c r="K96" s="303">
        <f>SUM(K97:K101)</f>
        <v>0</v>
      </c>
      <c r="L96" s="303">
        <f t="shared" si="15"/>
        <v>206881</v>
      </c>
    </row>
    <row r="97" spans="1:12" ht="12.75">
      <c r="A97" s="323" t="s">
        <v>378</v>
      </c>
      <c r="B97" s="293" t="s">
        <v>379</v>
      </c>
      <c r="C97" s="303">
        <f>SUM(C139+C181+C223+C265+C307+C349+C391)</f>
        <v>3000</v>
      </c>
      <c r="D97" s="303">
        <f t="shared" si="16"/>
        <v>0</v>
      </c>
      <c r="E97" s="303">
        <f t="shared" si="16"/>
        <v>0</v>
      </c>
      <c r="F97" s="320">
        <f t="shared" si="14"/>
        <v>3000</v>
      </c>
      <c r="G97" s="311" t="s">
        <v>100</v>
      </c>
      <c r="H97" s="293" t="s">
        <v>96</v>
      </c>
      <c r="I97" s="303">
        <f>SUM(I139+I181+I223+I265+I307+I349+I391)</f>
        <v>20356</v>
      </c>
      <c r="J97" s="303">
        <f>SUM(J139+J181+J223+J265+J307+J349+J391)</f>
        <v>0</v>
      </c>
      <c r="K97" s="303">
        <f>SUM(K139+K181+K223+K265+K307+K349+K391)</f>
        <v>0</v>
      </c>
      <c r="L97" s="303">
        <f t="shared" si="15"/>
        <v>20356</v>
      </c>
    </row>
    <row r="98" spans="1:12" ht="12.75">
      <c r="A98" s="324" t="s">
        <v>192</v>
      </c>
      <c r="B98" s="317" t="s">
        <v>186</v>
      </c>
      <c r="C98" s="303"/>
      <c r="D98" s="303"/>
      <c r="E98" s="303"/>
      <c r="F98" s="320">
        <f t="shared" si="14"/>
        <v>0</v>
      </c>
      <c r="G98" s="311" t="s">
        <v>101</v>
      </c>
      <c r="H98" s="293" t="s">
        <v>380</v>
      </c>
      <c r="I98" s="303">
        <v>13972</v>
      </c>
      <c r="J98" s="303">
        <f>SUM(J140+J182+J224+J266+J308+J350+J392)</f>
        <v>0</v>
      </c>
      <c r="K98" s="303"/>
      <c r="L98" s="303">
        <f t="shared" si="15"/>
        <v>13972</v>
      </c>
    </row>
    <row r="99" spans="1:12" ht="12.75">
      <c r="A99" s="311" t="s">
        <v>100</v>
      </c>
      <c r="B99" s="296" t="s">
        <v>381</v>
      </c>
      <c r="C99" s="320">
        <f>SUM(C100:C102)</f>
        <v>607425</v>
      </c>
      <c r="D99" s="320">
        <f>SUM(D100:D102)</f>
        <v>0</v>
      </c>
      <c r="E99" s="320">
        <f>SUM(E100:E102)</f>
        <v>0</v>
      </c>
      <c r="F99" s="320">
        <f t="shared" si="14"/>
        <v>607425</v>
      </c>
      <c r="G99" s="311" t="s">
        <v>102</v>
      </c>
      <c r="H99" s="293" t="s">
        <v>382</v>
      </c>
      <c r="I99" s="303">
        <f>SUM(I141+I183+I225+I267+I309+I351+I393)</f>
        <v>166245</v>
      </c>
      <c r="J99" s="303">
        <f>SUM(J141+J183+J225+J267+J309+J351+J393)</f>
        <v>0</v>
      </c>
      <c r="K99" s="303">
        <f>SUM(K141+K183+K225+K267+K309+K351+K393)</f>
        <v>0</v>
      </c>
      <c r="L99" s="303">
        <f t="shared" si="15"/>
        <v>166245</v>
      </c>
    </row>
    <row r="100" spans="1:12" ht="12.75">
      <c r="A100" s="311" t="s">
        <v>383</v>
      </c>
      <c r="B100" s="293" t="s">
        <v>384</v>
      </c>
      <c r="C100" s="303">
        <f>SUM(C142+C184+C226+C268+C310+C352+C394)</f>
        <v>415161</v>
      </c>
      <c r="D100" s="303">
        <f aca="true" t="shared" si="17" ref="D100:E104">SUM(D142+D184+D226+D268+D310+D352+D394)</f>
        <v>0</v>
      </c>
      <c r="E100" s="303">
        <f t="shared" si="17"/>
        <v>0</v>
      </c>
      <c r="F100" s="320">
        <f t="shared" si="14"/>
        <v>415161</v>
      </c>
      <c r="G100" s="311" t="s">
        <v>103</v>
      </c>
      <c r="H100" s="293" t="s">
        <v>385</v>
      </c>
      <c r="I100" s="303">
        <f>SUM(I142+I184+I226+I268+I310+I352+I394)</f>
        <v>252</v>
      </c>
      <c r="J100" s="303">
        <f>SUM(J142+J184+J226+J268+J310+J352+J394)</f>
        <v>0</v>
      </c>
      <c r="K100" s="303">
        <f>SUM(K142+K184+K226+K268+K310+K352+K394)</f>
        <v>0</v>
      </c>
      <c r="L100" s="303">
        <f t="shared" si="15"/>
        <v>252</v>
      </c>
    </row>
    <row r="101" spans="1:12" ht="12.75">
      <c r="A101" s="311" t="s">
        <v>386</v>
      </c>
      <c r="B101" s="293" t="s">
        <v>387</v>
      </c>
      <c r="C101" s="303">
        <f>SUM(C143+C185+C227+C269+C311+C353+C395)</f>
        <v>0</v>
      </c>
      <c r="D101" s="303">
        <f t="shared" si="17"/>
        <v>0</v>
      </c>
      <c r="E101" s="303">
        <f t="shared" si="17"/>
        <v>0</v>
      </c>
      <c r="F101" s="320">
        <f t="shared" si="14"/>
        <v>0</v>
      </c>
      <c r="G101" s="311" t="s">
        <v>104</v>
      </c>
      <c r="H101" s="293" t="s">
        <v>388</v>
      </c>
      <c r="I101" s="303">
        <f>SUM(I143+I185+I227+I269+I311+I353+I395)</f>
        <v>6056</v>
      </c>
      <c r="J101" s="303">
        <f>SUM(J143+J185+J227+J269+J311+J353+J395)</f>
        <v>0</v>
      </c>
      <c r="K101" s="303">
        <f>SUM(K143+K185+K227+K269+K311+K353+K395)</f>
        <v>0</v>
      </c>
      <c r="L101" s="303">
        <f t="shared" si="15"/>
        <v>6056</v>
      </c>
    </row>
    <row r="102" spans="1:12" ht="12.75">
      <c r="A102" s="311" t="s">
        <v>389</v>
      </c>
      <c r="B102" s="293" t="s">
        <v>390</v>
      </c>
      <c r="C102" s="303">
        <f>SUM(C144+C186+C228+C270+C312+C354+C396)</f>
        <v>192264</v>
      </c>
      <c r="D102" s="303">
        <f t="shared" si="17"/>
        <v>0</v>
      </c>
      <c r="E102" s="303">
        <f t="shared" si="17"/>
        <v>0</v>
      </c>
      <c r="F102" s="320">
        <f t="shared" si="14"/>
        <v>192264</v>
      </c>
      <c r="G102" s="311"/>
      <c r="H102" s="293"/>
      <c r="I102" s="303"/>
      <c r="J102" s="303"/>
      <c r="K102" s="303"/>
      <c r="L102" s="303">
        <f t="shared" si="15"/>
        <v>0</v>
      </c>
    </row>
    <row r="103" spans="1:12" ht="12.75">
      <c r="A103" s="317" t="s">
        <v>391</v>
      </c>
      <c r="B103" s="317" t="s">
        <v>392</v>
      </c>
      <c r="C103" s="303">
        <f>SUM(C145+C187+C229+C271+C313+C355+C397)</f>
        <v>39725</v>
      </c>
      <c r="D103" s="303">
        <f t="shared" si="17"/>
        <v>0</v>
      </c>
      <c r="E103" s="303">
        <f t="shared" si="17"/>
        <v>0</v>
      </c>
      <c r="F103" s="320">
        <f t="shared" si="14"/>
        <v>39725</v>
      </c>
      <c r="G103" s="317" t="s">
        <v>197</v>
      </c>
      <c r="H103" s="317" t="s">
        <v>393</v>
      </c>
      <c r="I103" s="303">
        <f>SUM(I145+I187+I229+I271+I313+I355+I397)</f>
        <v>62861</v>
      </c>
      <c r="J103" s="303">
        <f>SUM(J145+J187+J229+J271+J313+J355+J397)</f>
        <v>0</v>
      </c>
      <c r="K103" s="303">
        <f>SUM(K145+K187+K229+K271+K313+K355+K397)</f>
        <v>0</v>
      </c>
      <c r="L103" s="303">
        <f t="shared" si="15"/>
        <v>62861</v>
      </c>
    </row>
    <row r="104" spans="1:12" ht="12.75">
      <c r="A104" s="317" t="s">
        <v>394</v>
      </c>
      <c r="B104" s="317" t="s">
        <v>395</v>
      </c>
      <c r="C104" s="303">
        <f>SUM(C146+C188+C230+C272+C314+C356+C398)</f>
        <v>0</v>
      </c>
      <c r="D104" s="303">
        <f t="shared" si="17"/>
        <v>0</v>
      </c>
      <c r="E104" s="303">
        <f t="shared" si="17"/>
        <v>0</v>
      </c>
      <c r="F104" s="320">
        <f t="shared" si="14"/>
        <v>0</v>
      </c>
      <c r="G104" s="317" t="s">
        <v>198</v>
      </c>
      <c r="H104" s="317" t="s">
        <v>396</v>
      </c>
      <c r="I104" s="303">
        <f>SUM(I105:I106)</f>
        <v>5000</v>
      </c>
      <c r="J104" s="303">
        <f>SUM(J105:J106)</f>
        <v>0</v>
      </c>
      <c r="K104" s="303">
        <f>SUM(K105:K106)</f>
        <v>0</v>
      </c>
      <c r="L104" s="303">
        <f t="shared" si="15"/>
        <v>5000</v>
      </c>
    </row>
    <row r="105" spans="1:12" ht="12.75">
      <c r="A105" s="311"/>
      <c r="B105" s="293" t="s">
        <v>397</v>
      </c>
      <c r="C105" s="303"/>
      <c r="D105" s="303"/>
      <c r="E105" s="303"/>
      <c r="F105" s="320">
        <f t="shared" si="14"/>
        <v>0</v>
      </c>
      <c r="G105" s="311" t="s">
        <v>100</v>
      </c>
      <c r="H105" s="293" t="s">
        <v>398</v>
      </c>
      <c r="I105" s="303">
        <f>SUM(I147+I189+I231+I273+I315+I357+I399)</f>
        <v>0</v>
      </c>
      <c r="J105" s="303">
        <f>SUM(J147+J189+J231+J273+J315+J357+J399)</f>
        <v>0</v>
      </c>
      <c r="K105" s="303">
        <f>SUM(K147+K189+K231+K273+K315+K357+K399)</f>
        <v>0</v>
      </c>
      <c r="L105" s="303">
        <f t="shared" si="15"/>
        <v>0</v>
      </c>
    </row>
    <row r="106" spans="1:12" ht="12.75">
      <c r="A106" s="317" t="s">
        <v>399</v>
      </c>
      <c r="B106" s="317" t="s">
        <v>400</v>
      </c>
      <c r="C106" s="320">
        <f>SUM(C148+C190+C232+C274+C316+C358+C400)</f>
        <v>0</v>
      </c>
      <c r="D106" s="320">
        <f>SUM(D148+D190+D232+D274+D316+D358+D400)</f>
        <v>0</v>
      </c>
      <c r="E106" s="320">
        <f>SUM(E148+E190+E232+E274+E316+E358+E400)</f>
        <v>0</v>
      </c>
      <c r="F106" s="320">
        <f t="shared" si="14"/>
        <v>0</v>
      </c>
      <c r="G106" s="311" t="s">
        <v>101</v>
      </c>
      <c r="H106" s="293" t="s">
        <v>401</v>
      </c>
      <c r="I106" s="303">
        <f>SUM(I148+I190+I232+I274+I316+I358)</f>
        <v>5000</v>
      </c>
      <c r="J106" s="303">
        <f>SUM(J190+J232+J274+J316+J358+J400)</f>
        <v>0</v>
      </c>
      <c r="K106" s="303">
        <f>SUM(K148+K190+K232+K274+K316+K358)</f>
        <v>0</v>
      </c>
      <c r="L106" s="303">
        <f t="shared" si="15"/>
        <v>5000</v>
      </c>
    </row>
    <row r="107" spans="1:12" ht="12.75">
      <c r="A107" s="317" t="s">
        <v>198</v>
      </c>
      <c r="B107" s="317" t="s">
        <v>402</v>
      </c>
      <c r="C107" s="303"/>
      <c r="D107" s="303">
        <f>SUM(D149+D191+D233+D275+D317+D359+D401)</f>
        <v>0</v>
      </c>
      <c r="E107" s="303"/>
      <c r="F107" s="320">
        <f t="shared" si="14"/>
        <v>0</v>
      </c>
      <c r="G107" s="311"/>
      <c r="H107" s="293"/>
      <c r="I107" s="303"/>
      <c r="J107" s="303"/>
      <c r="K107" s="303"/>
      <c r="L107" s="303"/>
    </row>
    <row r="108" spans="1:12" ht="12.75">
      <c r="A108" s="311"/>
      <c r="B108" s="301" t="s">
        <v>403</v>
      </c>
      <c r="C108" s="304">
        <f>SUM(C93+C94+C99+C103+C104+C106+C107)</f>
        <v>985169</v>
      </c>
      <c r="D108" s="304">
        <f>SUM(D93+D94+D99+D103+D104+D106+D107)</f>
        <v>0</v>
      </c>
      <c r="E108" s="304">
        <f>SUM(E93+E94+E99+E103+E104+E106+E107)</f>
        <v>-16347</v>
      </c>
      <c r="F108" s="304">
        <f>SUM(F93+F94+F99+F103+F104+F106+F107)</f>
        <v>968822</v>
      </c>
      <c r="G108" s="311"/>
      <c r="H108" s="301" t="s">
        <v>404</v>
      </c>
      <c r="I108" s="304">
        <f>SUM(I92)</f>
        <v>1148575</v>
      </c>
      <c r="J108" s="304">
        <f>SUM(J92)</f>
        <v>0</v>
      </c>
      <c r="K108" s="304">
        <f>SUM(K92)</f>
        <v>0</v>
      </c>
      <c r="L108" s="304">
        <f>SUM(L92)</f>
        <v>1148575</v>
      </c>
    </row>
    <row r="109" spans="1:12" ht="12.75">
      <c r="A109" s="311"/>
      <c r="B109" s="327" t="s">
        <v>405</v>
      </c>
      <c r="C109" s="328">
        <f>I110-C108</f>
        <v>163406</v>
      </c>
      <c r="D109" s="328">
        <f>J110-D108</f>
        <v>0</v>
      </c>
      <c r="E109" s="328">
        <f>K110-E108</f>
        <v>16347</v>
      </c>
      <c r="F109" s="328">
        <f>L110-F108</f>
        <v>179753</v>
      </c>
      <c r="G109" s="311"/>
      <c r="H109" s="293" t="s">
        <v>406</v>
      </c>
      <c r="I109" s="328">
        <f>SUM(I151,I193,I235,I277,I319,I361,I403)</f>
        <v>0</v>
      </c>
      <c r="J109" s="328">
        <f>SUM(J151,J193,J235,J277,J319,J361,J403)</f>
        <v>0</v>
      </c>
      <c r="K109" s="328">
        <f>SUM(K151,K193,K235,K277,K319,K361,K403)</f>
        <v>0</v>
      </c>
      <c r="L109" s="303"/>
    </row>
    <row r="110" spans="1:12" ht="12.75">
      <c r="A110" s="311"/>
      <c r="B110" s="317" t="s">
        <v>407</v>
      </c>
      <c r="C110" s="303"/>
      <c r="D110" s="303"/>
      <c r="E110" s="303"/>
      <c r="F110" s="303"/>
      <c r="G110" s="311"/>
      <c r="H110" s="301" t="s">
        <v>408</v>
      </c>
      <c r="I110" s="304">
        <f>SUM(I93+I94+I95+I96+I103+I104)</f>
        <v>1148575</v>
      </c>
      <c r="J110" s="304">
        <f>SUM(J93+J94+J95+J96+J103+J104)</f>
        <v>0</v>
      </c>
      <c r="K110" s="304">
        <f>SUM(K93+K94+K95+K96+K103+K104)</f>
        <v>0</v>
      </c>
      <c r="L110" s="304">
        <f>SUM(L93+L94+L95+L96+L103+L104)</f>
        <v>1148575</v>
      </c>
    </row>
    <row r="111" spans="1:12" ht="12.75">
      <c r="A111" s="317" t="s">
        <v>409</v>
      </c>
      <c r="B111" s="317" t="s">
        <v>410</v>
      </c>
      <c r="C111" s="303">
        <f>SUM(C153+C195+C237+C279+C321+C363+C405)</f>
        <v>22451</v>
      </c>
      <c r="D111" s="303">
        <f aca="true" t="shared" si="18" ref="D111:E114">SUM(D153+D195+D237+D279+D321+D363+D405)</f>
        <v>0</v>
      </c>
      <c r="E111" s="303">
        <f t="shared" si="18"/>
        <v>0</v>
      </c>
      <c r="F111" s="303">
        <f>SUM(C111:E111)</f>
        <v>22451</v>
      </c>
      <c r="G111" s="311"/>
      <c r="H111" s="327" t="s">
        <v>411</v>
      </c>
      <c r="I111" s="303"/>
      <c r="J111" s="303"/>
      <c r="K111" s="303"/>
      <c r="L111" s="303"/>
    </row>
    <row r="112" spans="1:12" ht="12.75">
      <c r="A112" s="317" t="s">
        <v>412</v>
      </c>
      <c r="B112" s="317" t="s">
        <v>413</v>
      </c>
      <c r="C112" s="303">
        <f>SUM(C154+C196+C238+C280+C322+C364+C406)</f>
        <v>10000</v>
      </c>
      <c r="D112" s="303">
        <f t="shared" si="18"/>
        <v>0</v>
      </c>
      <c r="E112" s="303">
        <f t="shared" si="18"/>
        <v>0</v>
      </c>
      <c r="F112" s="303">
        <f aca="true" t="shared" si="19" ref="F112:F123">SUM(C112:E112)</f>
        <v>10000</v>
      </c>
      <c r="G112" s="311"/>
      <c r="H112" s="317" t="s">
        <v>94</v>
      </c>
      <c r="I112" s="303"/>
      <c r="J112" s="303"/>
      <c r="K112" s="303"/>
      <c r="L112" s="303"/>
    </row>
    <row r="113" spans="1:12" ht="12.75">
      <c r="A113" s="317" t="s">
        <v>414</v>
      </c>
      <c r="B113" s="317" t="s">
        <v>415</v>
      </c>
      <c r="C113" s="303">
        <f>SUM(C155+C197+C239+C281+C323+C365+C407)</f>
        <v>14011</v>
      </c>
      <c r="D113" s="303">
        <f t="shared" si="18"/>
        <v>0</v>
      </c>
      <c r="E113" s="303">
        <f t="shared" si="18"/>
        <v>10394</v>
      </c>
      <c r="F113" s="303">
        <f t="shared" si="19"/>
        <v>24405</v>
      </c>
      <c r="G113" s="317" t="s">
        <v>194</v>
      </c>
      <c r="H113" s="317" t="s">
        <v>416</v>
      </c>
      <c r="I113" s="303">
        <f>SUM(I155+I197+I239+I281+I323+I365+I407)</f>
        <v>26935</v>
      </c>
      <c r="J113" s="303">
        <f>SUM(J155+J197+J239+J281+J323+J365+J407)</f>
        <v>0</v>
      </c>
      <c r="K113" s="303">
        <f>SUM(K155+K197+K239+K281+K323+K365+K407)</f>
        <v>0</v>
      </c>
      <c r="L113" s="303">
        <f>SUM(L155+L197+L239+L281+L323+L365+L407)</f>
        <v>26935</v>
      </c>
    </row>
    <row r="114" spans="1:12" ht="12.75">
      <c r="A114" s="317" t="s">
        <v>417</v>
      </c>
      <c r="B114" s="317" t="s">
        <v>193</v>
      </c>
      <c r="C114" s="303">
        <f>SUM(C156+C198+C240+C282+C324+C366+C408)</f>
        <v>6147</v>
      </c>
      <c r="D114" s="303">
        <f t="shared" si="18"/>
        <v>0</v>
      </c>
      <c r="E114" s="303">
        <f t="shared" si="18"/>
        <v>0</v>
      </c>
      <c r="F114" s="303">
        <f t="shared" si="19"/>
        <v>6147</v>
      </c>
      <c r="G114" s="317" t="s">
        <v>195</v>
      </c>
      <c r="H114" s="317" t="s">
        <v>377</v>
      </c>
      <c r="I114" s="303">
        <f>SUM(I115:I116)</f>
        <v>0</v>
      </c>
      <c r="J114" s="303">
        <f>SUM(J115:J116)</f>
        <v>0</v>
      </c>
      <c r="K114" s="303">
        <f>SUM(K115:K116)</f>
        <v>0</v>
      </c>
      <c r="L114" s="303">
        <f aca="true" t="shared" si="20" ref="L114:L123">SUM(L156+L198+L240+L282+L324+L366+L408)</f>
        <v>0</v>
      </c>
    </row>
    <row r="115" spans="1:12" ht="12.75">
      <c r="A115" s="317" t="s">
        <v>194</v>
      </c>
      <c r="B115" s="317" t="s">
        <v>418</v>
      </c>
      <c r="C115" s="303">
        <f>SUM(C116:C118)</f>
        <v>4000</v>
      </c>
      <c r="D115" s="303">
        <f>SUM(D116:D118)</f>
        <v>0</v>
      </c>
      <c r="E115" s="303">
        <f>SUM(E116:E118)</f>
        <v>5953</v>
      </c>
      <c r="F115" s="303">
        <f t="shared" si="19"/>
        <v>9953</v>
      </c>
      <c r="G115" s="311" t="s">
        <v>100</v>
      </c>
      <c r="H115" s="293" t="s">
        <v>96</v>
      </c>
      <c r="I115" s="303">
        <f aca="true" t="shared" si="21" ref="I115:K116">SUM(I157+I199+I241+I283+I325+I367+I409)</f>
        <v>0</v>
      </c>
      <c r="J115" s="303">
        <f t="shared" si="21"/>
        <v>0</v>
      </c>
      <c r="K115" s="303">
        <f t="shared" si="21"/>
        <v>0</v>
      </c>
      <c r="L115" s="303">
        <f t="shared" si="20"/>
        <v>0</v>
      </c>
    </row>
    <row r="116" spans="1:12" ht="12.75">
      <c r="A116" s="311" t="s">
        <v>100</v>
      </c>
      <c r="B116" s="330" t="s">
        <v>419</v>
      </c>
      <c r="C116" s="303">
        <f aca="true" t="shared" si="22" ref="C116:C123">SUM(C158+C200+C242+C284+C326+C368+C410)</f>
        <v>0</v>
      </c>
      <c r="D116" s="303">
        <f aca="true" t="shared" si="23" ref="D116:E123">SUM(D158+D200+D242+D284+D326+D368+D410)</f>
        <v>0</v>
      </c>
      <c r="E116" s="303">
        <f t="shared" si="23"/>
        <v>0</v>
      </c>
      <c r="F116" s="303">
        <f t="shared" si="19"/>
        <v>0</v>
      </c>
      <c r="G116" s="311" t="s">
        <v>101</v>
      </c>
      <c r="H116" s="293" t="s">
        <v>420</v>
      </c>
      <c r="I116" s="303">
        <f t="shared" si="21"/>
        <v>0</v>
      </c>
      <c r="J116" s="303">
        <f t="shared" si="21"/>
        <v>0</v>
      </c>
      <c r="K116" s="303">
        <f t="shared" si="21"/>
        <v>0</v>
      </c>
      <c r="L116" s="303">
        <f t="shared" si="20"/>
        <v>0</v>
      </c>
    </row>
    <row r="117" spans="1:12" ht="12.75">
      <c r="A117" s="311" t="s">
        <v>101</v>
      </c>
      <c r="B117" s="330" t="s">
        <v>421</v>
      </c>
      <c r="C117" s="303">
        <f t="shared" si="22"/>
        <v>4000</v>
      </c>
      <c r="D117" s="303">
        <f t="shared" si="23"/>
        <v>0</v>
      </c>
      <c r="E117" s="303">
        <f t="shared" si="23"/>
        <v>5953</v>
      </c>
      <c r="F117" s="303">
        <f t="shared" si="19"/>
        <v>9953</v>
      </c>
      <c r="G117" s="317" t="s">
        <v>196</v>
      </c>
      <c r="H117" s="317" t="s">
        <v>422</v>
      </c>
      <c r="I117" s="303">
        <f>SUM(I118:I120)</f>
        <v>190047</v>
      </c>
      <c r="J117" s="303">
        <f>SUM(J118:J120)</f>
        <v>0</v>
      </c>
      <c r="K117" s="303">
        <f>SUM(K118:K120)</f>
        <v>0</v>
      </c>
      <c r="L117" s="303">
        <f t="shared" si="20"/>
        <v>190047</v>
      </c>
    </row>
    <row r="118" spans="1:12" ht="12.75">
      <c r="A118" s="311" t="s">
        <v>102</v>
      </c>
      <c r="B118" s="330" t="s">
        <v>161</v>
      </c>
      <c r="C118" s="303">
        <f t="shared" si="22"/>
        <v>0</v>
      </c>
      <c r="D118" s="303">
        <f t="shared" si="23"/>
        <v>0</v>
      </c>
      <c r="E118" s="303">
        <f t="shared" si="23"/>
        <v>0</v>
      </c>
      <c r="F118" s="303">
        <f t="shared" si="19"/>
        <v>0</v>
      </c>
      <c r="G118" s="311" t="s">
        <v>100</v>
      </c>
      <c r="H118" s="330" t="s">
        <v>117</v>
      </c>
      <c r="I118" s="303">
        <f aca="true" t="shared" si="24" ref="I118:K120">SUM(I160+I202+I244+I286+I328+I370+I412)</f>
        <v>15875</v>
      </c>
      <c r="J118" s="303">
        <f t="shared" si="24"/>
        <v>0</v>
      </c>
      <c r="K118" s="303">
        <f t="shared" si="24"/>
        <v>0</v>
      </c>
      <c r="L118" s="303">
        <f t="shared" si="20"/>
        <v>15875</v>
      </c>
    </row>
    <row r="119" spans="1:12" ht="12.75">
      <c r="A119" s="317" t="s">
        <v>423</v>
      </c>
      <c r="B119" s="317" t="s">
        <v>424</v>
      </c>
      <c r="C119" s="303">
        <f t="shared" si="22"/>
        <v>52835</v>
      </c>
      <c r="D119" s="303">
        <f t="shared" si="23"/>
        <v>0</v>
      </c>
      <c r="E119" s="303">
        <f t="shared" si="23"/>
        <v>0</v>
      </c>
      <c r="F119" s="303">
        <f t="shared" si="19"/>
        <v>52835</v>
      </c>
      <c r="G119" s="311" t="s">
        <v>101</v>
      </c>
      <c r="H119" s="330" t="s">
        <v>97</v>
      </c>
      <c r="I119" s="303">
        <f t="shared" si="24"/>
        <v>174172</v>
      </c>
      <c r="J119" s="303">
        <f t="shared" si="24"/>
        <v>0</v>
      </c>
      <c r="K119" s="303">
        <f t="shared" si="24"/>
        <v>0</v>
      </c>
      <c r="L119" s="303">
        <f t="shared" si="20"/>
        <v>174172</v>
      </c>
    </row>
    <row r="120" spans="1:12" ht="12.75">
      <c r="A120" s="317" t="s">
        <v>425</v>
      </c>
      <c r="B120" s="317" t="s">
        <v>426</v>
      </c>
      <c r="C120" s="303">
        <f t="shared" si="22"/>
        <v>1073</v>
      </c>
      <c r="D120" s="303">
        <f t="shared" si="23"/>
        <v>0</v>
      </c>
      <c r="E120" s="303">
        <f t="shared" si="23"/>
        <v>0</v>
      </c>
      <c r="F120" s="303">
        <f t="shared" si="19"/>
        <v>1073</v>
      </c>
      <c r="G120" s="311" t="s">
        <v>102</v>
      </c>
      <c r="H120" s="293" t="s">
        <v>163</v>
      </c>
      <c r="I120" s="303">
        <f t="shared" si="24"/>
        <v>0</v>
      </c>
      <c r="J120" s="303">
        <f t="shared" si="24"/>
        <v>0</v>
      </c>
      <c r="K120" s="303">
        <f t="shared" si="24"/>
        <v>0</v>
      </c>
      <c r="L120" s="303">
        <f t="shared" si="20"/>
        <v>0</v>
      </c>
    </row>
    <row r="121" spans="1:12" ht="12.75">
      <c r="A121" s="317" t="s">
        <v>196</v>
      </c>
      <c r="B121" s="317" t="s">
        <v>427</v>
      </c>
      <c r="C121" s="303">
        <f t="shared" si="22"/>
        <v>0</v>
      </c>
      <c r="D121" s="303">
        <f t="shared" si="23"/>
        <v>0</v>
      </c>
      <c r="E121" s="303">
        <f t="shared" si="23"/>
        <v>0</v>
      </c>
      <c r="F121" s="303">
        <f t="shared" si="19"/>
        <v>0</v>
      </c>
      <c r="G121" s="317" t="s">
        <v>197</v>
      </c>
      <c r="H121" s="317" t="s">
        <v>428</v>
      </c>
      <c r="I121" s="303">
        <f aca="true" t="shared" si="25" ref="I121:K123">SUM(I163+I205+I247+I289+I331+I373+I415)</f>
        <v>6116</v>
      </c>
      <c r="J121" s="303">
        <f>SUM(J163+J205+J247+J289+J331+J373+J415)</f>
        <v>0</v>
      </c>
      <c r="K121" s="303">
        <f>SUM(K163+K205+K247+K289+K331+K373+K415)</f>
        <v>0</v>
      </c>
      <c r="L121" s="303">
        <f t="shared" si="20"/>
        <v>6116</v>
      </c>
    </row>
    <row r="122" spans="1:12" ht="12.75">
      <c r="A122" s="317" t="s">
        <v>197</v>
      </c>
      <c r="B122" s="317" t="s">
        <v>428</v>
      </c>
      <c r="C122" s="303">
        <f t="shared" si="22"/>
        <v>0</v>
      </c>
      <c r="D122" s="303">
        <f t="shared" si="23"/>
        <v>0</v>
      </c>
      <c r="E122" s="303">
        <f t="shared" si="23"/>
        <v>0</v>
      </c>
      <c r="F122" s="303">
        <f t="shared" si="19"/>
        <v>0</v>
      </c>
      <c r="G122" s="317" t="s">
        <v>198</v>
      </c>
      <c r="H122" s="317" t="s">
        <v>396</v>
      </c>
      <c r="I122" s="303">
        <f t="shared" si="25"/>
        <v>0</v>
      </c>
      <c r="J122" s="303">
        <f t="shared" si="25"/>
        <v>0</v>
      </c>
      <c r="K122" s="303">
        <f t="shared" si="25"/>
        <v>16347</v>
      </c>
      <c r="L122" s="303">
        <f t="shared" si="20"/>
        <v>16347</v>
      </c>
    </row>
    <row r="123" spans="1:12" ht="12.75">
      <c r="A123" s="317" t="s">
        <v>198</v>
      </c>
      <c r="B123" s="317" t="s">
        <v>402</v>
      </c>
      <c r="C123" s="303">
        <f t="shared" si="22"/>
        <v>112581</v>
      </c>
      <c r="D123" s="303">
        <f t="shared" si="23"/>
        <v>0</v>
      </c>
      <c r="E123" s="303">
        <f t="shared" si="23"/>
        <v>0</v>
      </c>
      <c r="F123" s="303">
        <f t="shared" si="19"/>
        <v>112581</v>
      </c>
      <c r="G123" s="311" t="s">
        <v>100</v>
      </c>
      <c r="H123" s="293" t="s">
        <v>398</v>
      </c>
      <c r="I123" s="303">
        <f t="shared" si="25"/>
        <v>0</v>
      </c>
      <c r="J123" s="303">
        <f t="shared" si="25"/>
        <v>0</v>
      </c>
      <c r="K123" s="303">
        <f t="shared" si="25"/>
        <v>16347</v>
      </c>
      <c r="L123" s="303">
        <f t="shared" si="20"/>
        <v>16347</v>
      </c>
    </row>
    <row r="124" spans="1:12" ht="12.75">
      <c r="A124" s="311"/>
      <c r="B124" s="301" t="s">
        <v>429</v>
      </c>
      <c r="C124" s="304">
        <f>SUM(C111+C112+C113+C114+C115+C119+C120+C121+C122+C123)</f>
        <v>223098</v>
      </c>
      <c r="D124" s="304">
        <f>SUM(D111+D112+D113+D114+D115+D119+D120+D121+D122+D123)</f>
        <v>0</v>
      </c>
      <c r="E124" s="304">
        <f>SUM(E111+E112+E113+E114+E115+E119+E120+E121+E122+E123)</f>
        <v>16347</v>
      </c>
      <c r="F124" s="304">
        <f>SUM(F111+F112+F113+F114+F115+F119+F120+F121+F122+F123)</f>
        <v>239445</v>
      </c>
      <c r="G124" s="311" t="s">
        <v>441</v>
      </c>
      <c r="H124" s="301" t="s">
        <v>430</v>
      </c>
      <c r="I124" s="304">
        <f>SUM(I113+I114+I117+I121+I122)</f>
        <v>223098</v>
      </c>
      <c r="J124" s="304">
        <f>SUM(J113+J114+J117+J121+J122)</f>
        <v>0</v>
      </c>
      <c r="K124" s="304">
        <f>SUM(K113+K114+K117+K121+K122)</f>
        <v>16347</v>
      </c>
      <c r="L124" s="304">
        <f>SUM(L113+L114+L117+L121+L122)</f>
        <v>239445</v>
      </c>
    </row>
    <row r="125" spans="1:12" ht="12.75">
      <c r="A125" s="311"/>
      <c r="B125" s="327" t="s">
        <v>433</v>
      </c>
      <c r="C125" s="328">
        <f>I124-C124</f>
        <v>0</v>
      </c>
      <c r="D125" s="328"/>
      <c r="E125" s="328">
        <f>K124-E124</f>
        <v>0</v>
      </c>
      <c r="F125" s="328">
        <f>L124-F124</f>
        <v>0</v>
      </c>
      <c r="G125" s="311" t="s">
        <v>442</v>
      </c>
      <c r="H125" s="293" t="s">
        <v>434</v>
      </c>
      <c r="I125" s="303"/>
      <c r="J125" s="303">
        <f>D124-J124</f>
        <v>0</v>
      </c>
      <c r="K125" s="303"/>
      <c r="L125" s="303"/>
    </row>
    <row r="126" spans="1:12" ht="13.5">
      <c r="A126" s="311"/>
      <c r="B126" s="332" t="s">
        <v>435</v>
      </c>
      <c r="C126" s="333">
        <f>SUM(C125+C109)</f>
        <v>163406</v>
      </c>
      <c r="D126" s="333">
        <f>SUM(D125+D109)</f>
        <v>0</v>
      </c>
      <c r="E126" s="333">
        <f>SUM(E125+E109)</f>
        <v>16347</v>
      </c>
      <c r="F126" s="333">
        <f>SUM(F125+F109)</f>
        <v>179753</v>
      </c>
      <c r="G126" s="311" t="s">
        <v>443</v>
      </c>
      <c r="H126" s="332" t="s">
        <v>436</v>
      </c>
      <c r="I126" s="320">
        <f>SUM(I109,I125)</f>
        <v>0</v>
      </c>
      <c r="J126" s="303">
        <f>SUM(J109,J125)</f>
        <v>0</v>
      </c>
      <c r="K126" s="320">
        <f>SUM(K109,K125)</f>
        <v>0</v>
      </c>
      <c r="L126" s="303"/>
    </row>
    <row r="127" spans="1:12" ht="12.75">
      <c r="A127" s="311"/>
      <c r="B127" s="301" t="s">
        <v>449</v>
      </c>
      <c r="C127" s="304">
        <f>SUM(C124+C108+C126)</f>
        <v>1371673</v>
      </c>
      <c r="D127" s="304">
        <f>SUM(D124+D108+D126)</f>
        <v>0</v>
      </c>
      <c r="E127" s="304">
        <f>SUM(E124+E108+E126)</f>
        <v>16347</v>
      </c>
      <c r="F127" s="304">
        <f>SUM(F124+F108+F126)</f>
        <v>1388020</v>
      </c>
      <c r="G127" s="311" t="s">
        <v>445</v>
      </c>
      <c r="H127" s="301" t="s">
        <v>450</v>
      </c>
      <c r="I127" s="304">
        <f>SUM(I110,I124,I126)</f>
        <v>1371673</v>
      </c>
      <c r="J127" s="304">
        <f>SUM(J110,J124,J126)</f>
        <v>0</v>
      </c>
      <c r="K127" s="304">
        <f>SUM(K110,K124,K126)</f>
        <v>16347</v>
      </c>
      <c r="L127" s="304">
        <f>SUM(L110,L124,L126)</f>
        <v>1388020</v>
      </c>
    </row>
    <row r="128" spans="1:12" ht="12.75">
      <c r="A128" s="564" t="s">
        <v>451</v>
      </c>
      <c r="B128" s="564"/>
      <c r="C128" s="564"/>
      <c r="D128" s="564"/>
      <c r="E128" s="564"/>
      <c r="F128" s="564"/>
      <c r="G128" s="564"/>
      <c r="H128" s="564"/>
      <c r="I128" s="564"/>
      <c r="J128" s="564"/>
      <c r="K128" s="564"/>
      <c r="L128" s="564"/>
    </row>
    <row r="129" spans="1:12" ht="12.75">
      <c r="A129" s="564"/>
      <c r="B129" s="564"/>
      <c r="C129" s="564"/>
      <c r="D129" s="564"/>
      <c r="E129" s="564"/>
      <c r="F129" s="564"/>
      <c r="G129" s="564"/>
      <c r="H129" s="564"/>
      <c r="I129" s="564"/>
      <c r="J129" s="564"/>
      <c r="K129" s="564"/>
      <c r="L129" s="564"/>
    </row>
    <row r="130" spans="1:12" ht="15.75">
      <c r="A130" s="315" t="s">
        <v>447</v>
      </c>
      <c r="B130" s="58"/>
      <c r="C130" s="316"/>
      <c r="D130" s="316"/>
      <c r="E130" s="316"/>
      <c r="F130" s="316"/>
      <c r="G130" s="58"/>
      <c r="H130" s="58"/>
      <c r="I130" s="565" t="s">
        <v>364</v>
      </c>
      <c r="J130" s="566"/>
      <c r="K130" s="566"/>
      <c r="L130" s="566"/>
    </row>
    <row r="131" spans="1:12" ht="12.75" customHeight="1">
      <c r="A131" s="567" t="s">
        <v>365</v>
      </c>
      <c r="B131" s="569" t="s">
        <v>142</v>
      </c>
      <c r="C131" s="571" t="s">
        <v>155</v>
      </c>
      <c r="D131" s="571" t="s">
        <v>52</v>
      </c>
      <c r="E131" s="571" t="s">
        <v>53</v>
      </c>
      <c r="F131" s="571" t="s">
        <v>54</v>
      </c>
      <c r="G131" s="567" t="s">
        <v>365</v>
      </c>
      <c r="H131" s="569" t="s">
        <v>369</v>
      </c>
      <c r="I131" s="571" t="s">
        <v>155</v>
      </c>
      <c r="J131" s="571" t="s">
        <v>52</v>
      </c>
      <c r="K131" s="571" t="s">
        <v>53</v>
      </c>
      <c r="L131" s="571" t="s">
        <v>54</v>
      </c>
    </row>
    <row r="132" spans="1:12" ht="12.75">
      <c r="A132" s="567"/>
      <c r="B132" s="569"/>
      <c r="C132" s="572"/>
      <c r="D132" s="572"/>
      <c r="E132" s="572"/>
      <c r="F132" s="574"/>
      <c r="G132" s="567"/>
      <c r="H132" s="569"/>
      <c r="I132" s="572"/>
      <c r="J132" s="572"/>
      <c r="K132" s="572"/>
      <c r="L132" s="574"/>
    </row>
    <row r="133" spans="1:12" ht="12.75">
      <c r="A133" s="568"/>
      <c r="B133" s="570"/>
      <c r="C133" s="573"/>
      <c r="D133" s="573"/>
      <c r="E133" s="573"/>
      <c r="F133" s="575"/>
      <c r="G133" s="568"/>
      <c r="H133" s="570"/>
      <c r="I133" s="573"/>
      <c r="J133" s="573"/>
      <c r="K133" s="573"/>
      <c r="L133" s="575"/>
    </row>
    <row r="134" spans="1:12" ht="12.75">
      <c r="A134" s="317" t="s">
        <v>88</v>
      </c>
      <c r="B134" s="317" t="s">
        <v>185</v>
      </c>
      <c r="C134" s="318"/>
      <c r="D134" s="318"/>
      <c r="E134" s="318"/>
      <c r="F134" s="318"/>
      <c r="G134" s="317"/>
      <c r="H134" s="317" t="s">
        <v>91</v>
      </c>
      <c r="I134" s="318">
        <f>SUM(I135:I137,I138,I145,I146)</f>
        <v>592081</v>
      </c>
      <c r="J134" s="318">
        <f>SUM(J135:J137,J138,J145,J146)</f>
        <v>0</v>
      </c>
      <c r="K134" s="318">
        <f>SUM(K135:K137,K138,K145,K146)</f>
        <v>0</v>
      </c>
      <c r="L134" s="318">
        <f>SUM(I134:K134)</f>
        <v>592081</v>
      </c>
    </row>
    <row r="135" spans="1:12" ht="12.75">
      <c r="A135" s="311" t="s">
        <v>100</v>
      </c>
      <c r="B135" s="296" t="s">
        <v>370</v>
      </c>
      <c r="C135" s="320">
        <v>15591</v>
      </c>
      <c r="D135" s="320"/>
      <c r="E135" s="320">
        <v>-5073</v>
      </c>
      <c r="F135" s="320">
        <f>SUM(C135:E135)</f>
        <v>10518</v>
      </c>
      <c r="G135" s="317" t="s">
        <v>88</v>
      </c>
      <c r="H135" s="317" t="s">
        <v>92</v>
      </c>
      <c r="I135" s="303">
        <v>188375</v>
      </c>
      <c r="J135" s="303"/>
      <c r="K135" s="303"/>
      <c r="L135" s="318">
        <f aca="true" t="shared" si="26" ref="L135:L148">SUM(I135:K135)</f>
        <v>188375</v>
      </c>
    </row>
    <row r="136" spans="1:12" ht="12.75">
      <c r="A136" s="311" t="s">
        <v>101</v>
      </c>
      <c r="B136" s="296" t="s">
        <v>371</v>
      </c>
      <c r="C136" s="320">
        <f>SUM(C137:C139)</f>
        <v>281420</v>
      </c>
      <c r="D136" s="320">
        <f>SUM(D137:D139)</f>
        <v>0</v>
      </c>
      <c r="E136" s="320">
        <f>SUM(E137:E139)</f>
        <v>-10394</v>
      </c>
      <c r="F136" s="320">
        <f aca="true" t="shared" si="27" ref="F136:F148">SUM(C136:E136)</f>
        <v>271026</v>
      </c>
      <c r="G136" s="317" t="s">
        <v>372</v>
      </c>
      <c r="H136" s="317" t="s">
        <v>93</v>
      </c>
      <c r="I136" s="303">
        <v>54261</v>
      </c>
      <c r="J136" s="303"/>
      <c r="K136" s="303"/>
      <c r="L136" s="318">
        <f t="shared" si="26"/>
        <v>54261</v>
      </c>
    </row>
    <row r="137" spans="1:12" ht="12.75">
      <c r="A137" s="323" t="s">
        <v>373</v>
      </c>
      <c r="B137" s="293" t="s">
        <v>374</v>
      </c>
      <c r="C137" s="303">
        <v>66800</v>
      </c>
      <c r="D137" s="303"/>
      <c r="E137" s="303"/>
      <c r="F137" s="320">
        <f t="shared" si="27"/>
        <v>66800</v>
      </c>
      <c r="G137" s="317" t="s">
        <v>194</v>
      </c>
      <c r="H137" s="317" t="s">
        <v>269</v>
      </c>
      <c r="I137" s="303">
        <v>95779</v>
      </c>
      <c r="J137" s="303"/>
      <c r="K137" s="303"/>
      <c r="L137" s="318">
        <f t="shared" si="26"/>
        <v>95779</v>
      </c>
    </row>
    <row r="138" spans="1:12" ht="12.75">
      <c r="A138" s="323" t="s">
        <v>375</v>
      </c>
      <c r="B138" s="293" t="s">
        <v>376</v>
      </c>
      <c r="C138" s="303">
        <v>211620</v>
      </c>
      <c r="D138" s="303"/>
      <c r="E138" s="303">
        <v>-10394</v>
      </c>
      <c r="F138" s="320">
        <f t="shared" si="27"/>
        <v>201226</v>
      </c>
      <c r="G138" s="317" t="s">
        <v>195</v>
      </c>
      <c r="H138" s="317" t="s">
        <v>377</v>
      </c>
      <c r="I138" s="303">
        <f>SUM(I139:I143)</f>
        <v>185805</v>
      </c>
      <c r="J138" s="303"/>
      <c r="K138" s="303"/>
      <c r="L138" s="318">
        <f t="shared" si="26"/>
        <v>185805</v>
      </c>
    </row>
    <row r="139" spans="1:12" ht="12.75">
      <c r="A139" s="323" t="s">
        <v>378</v>
      </c>
      <c r="B139" s="293" t="s">
        <v>379</v>
      </c>
      <c r="C139" s="303">
        <v>3000</v>
      </c>
      <c r="D139" s="303"/>
      <c r="E139" s="303"/>
      <c r="F139" s="320">
        <f t="shared" si="27"/>
        <v>3000</v>
      </c>
      <c r="G139" s="311" t="s">
        <v>100</v>
      </c>
      <c r="H139" s="293" t="s">
        <v>96</v>
      </c>
      <c r="I139" s="303">
        <f>500+3000+1300+275+513</f>
        <v>5588</v>
      </c>
      <c r="J139" s="303"/>
      <c r="K139" s="303"/>
      <c r="L139" s="318">
        <f t="shared" si="26"/>
        <v>5588</v>
      </c>
    </row>
    <row r="140" spans="1:12" ht="12.75">
      <c r="A140" s="324" t="s">
        <v>192</v>
      </c>
      <c r="B140" s="317" t="s">
        <v>186</v>
      </c>
      <c r="C140" s="303"/>
      <c r="D140" s="303">
        <f>SUM(D141)</f>
        <v>0</v>
      </c>
      <c r="E140" s="303"/>
      <c r="F140" s="320">
        <f t="shared" si="27"/>
        <v>0</v>
      </c>
      <c r="G140" s="311" t="s">
        <v>101</v>
      </c>
      <c r="H140" s="293" t="s">
        <v>380</v>
      </c>
      <c r="I140" s="303">
        <v>13972</v>
      </c>
      <c r="J140" s="303"/>
      <c r="K140" s="303"/>
      <c r="L140" s="318">
        <f t="shared" si="26"/>
        <v>13972</v>
      </c>
    </row>
    <row r="141" spans="1:12" ht="12.75">
      <c r="A141" s="311" t="s">
        <v>100</v>
      </c>
      <c r="B141" s="296" t="s">
        <v>381</v>
      </c>
      <c r="C141" s="320">
        <f>SUM(C142:C144)</f>
        <v>284826</v>
      </c>
      <c r="D141" s="320">
        <f>SUM(D142:D144)</f>
        <v>0</v>
      </c>
      <c r="E141" s="320">
        <f>SUM(E142:E144)</f>
        <v>0</v>
      </c>
      <c r="F141" s="320">
        <f t="shared" si="27"/>
        <v>284826</v>
      </c>
      <c r="G141" s="311" t="s">
        <v>102</v>
      </c>
      <c r="H141" s="293" t="s">
        <v>382</v>
      </c>
      <c r="I141" s="303">
        <f>16355+149890</f>
        <v>166245</v>
      </c>
      <c r="J141" s="303"/>
      <c r="K141" s="303"/>
      <c r="L141" s="318">
        <f t="shared" si="26"/>
        <v>166245</v>
      </c>
    </row>
    <row r="142" spans="1:12" ht="12.75">
      <c r="A142" s="311" t="s">
        <v>383</v>
      </c>
      <c r="B142" s="293" t="s">
        <v>384</v>
      </c>
      <c r="C142" s="303">
        <v>94104</v>
      </c>
      <c r="D142" s="303"/>
      <c r="E142" s="303"/>
      <c r="F142" s="320">
        <f t="shared" si="27"/>
        <v>94104</v>
      </c>
      <c r="G142" s="311" t="s">
        <v>103</v>
      </c>
      <c r="H142" s="293" t="s">
        <v>385</v>
      </c>
      <c r="I142" s="303">
        <v>0</v>
      </c>
      <c r="J142" s="303"/>
      <c r="K142" s="303"/>
      <c r="L142" s="318">
        <f t="shared" si="26"/>
        <v>0</v>
      </c>
    </row>
    <row r="143" spans="1:12" ht="12.75">
      <c r="A143" s="311" t="s">
        <v>386</v>
      </c>
      <c r="B143" s="293" t="s">
        <v>387</v>
      </c>
      <c r="C143" s="303">
        <v>0</v>
      </c>
      <c r="D143" s="303"/>
      <c r="E143" s="303"/>
      <c r="F143" s="320">
        <f t="shared" si="27"/>
        <v>0</v>
      </c>
      <c r="G143" s="311" t="s">
        <v>104</v>
      </c>
      <c r="H143" s="293" t="s">
        <v>388</v>
      </c>
      <c r="I143" s="303">
        <v>0</v>
      </c>
      <c r="J143" s="303"/>
      <c r="K143" s="303"/>
      <c r="L143" s="318">
        <f t="shared" si="26"/>
        <v>0</v>
      </c>
    </row>
    <row r="144" spans="1:12" ht="12.75">
      <c r="A144" s="311" t="s">
        <v>389</v>
      </c>
      <c r="B144" s="293" t="s">
        <v>390</v>
      </c>
      <c r="C144" s="303">
        <v>190722</v>
      </c>
      <c r="D144" s="303"/>
      <c r="E144" s="303"/>
      <c r="F144" s="320">
        <f t="shared" si="27"/>
        <v>190722</v>
      </c>
      <c r="G144" s="311"/>
      <c r="H144" s="293"/>
      <c r="I144" s="303"/>
      <c r="J144" s="303"/>
      <c r="K144" s="303"/>
      <c r="L144" s="318">
        <f t="shared" si="26"/>
        <v>0</v>
      </c>
    </row>
    <row r="145" spans="1:12" ht="12.75">
      <c r="A145" s="317" t="s">
        <v>391</v>
      </c>
      <c r="B145" s="317" t="s">
        <v>392</v>
      </c>
      <c r="C145" s="303">
        <v>320</v>
      </c>
      <c r="D145" s="303"/>
      <c r="E145" s="303"/>
      <c r="F145" s="320">
        <f t="shared" si="27"/>
        <v>320</v>
      </c>
      <c r="G145" s="317" t="s">
        <v>197</v>
      </c>
      <c r="H145" s="317" t="s">
        <v>393</v>
      </c>
      <c r="I145" s="303">
        <v>62861</v>
      </c>
      <c r="J145" s="303"/>
      <c r="K145" s="303"/>
      <c r="L145" s="318">
        <f t="shared" si="26"/>
        <v>62861</v>
      </c>
    </row>
    <row r="146" spans="1:12" ht="12.75">
      <c r="A146" s="317" t="s">
        <v>394</v>
      </c>
      <c r="B146" s="317" t="s">
        <v>395</v>
      </c>
      <c r="C146" s="303"/>
      <c r="D146" s="303"/>
      <c r="E146" s="303"/>
      <c r="F146" s="320">
        <f t="shared" si="27"/>
        <v>0</v>
      </c>
      <c r="G146" s="317" t="s">
        <v>198</v>
      </c>
      <c r="H146" s="317" t="s">
        <v>396</v>
      </c>
      <c r="I146" s="303">
        <f>SUM(I147:I148)</f>
        <v>5000</v>
      </c>
      <c r="J146" s="303"/>
      <c r="K146" s="303"/>
      <c r="L146" s="318">
        <f t="shared" si="26"/>
        <v>5000</v>
      </c>
    </row>
    <row r="147" spans="1:12" ht="12.75">
      <c r="A147" s="311"/>
      <c r="B147" s="293" t="s">
        <v>397</v>
      </c>
      <c r="C147" s="303"/>
      <c r="D147" s="303"/>
      <c r="E147" s="303"/>
      <c r="F147" s="320">
        <f t="shared" si="27"/>
        <v>0</v>
      </c>
      <c r="G147" s="311" t="s">
        <v>100</v>
      </c>
      <c r="H147" s="293" t="s">
        <v>398</v>
      </c>
      <c r="I147" s="303"/>
      <c r="J147" s="303"/>
      <c r="K147" s="303"/>
      <c r="L147" s="318">
        <f t="shared" si="26"/>
        <v>0</v>
      </c>
    </row>
    <row r="148" spans="1:12" ht="12.75">
      <c r="A148" s="317" t="s">
        <v>399</v>
      </c>
      <c r="B148" s="317" t="s">
        <v>400</v>
      </c>
      <c r="C148" s="320">
        <v>0</v>
      </c>
      <c r="D148" s="320"/>
      <c r="E148" s="320"/>
      <c r="F148" s="320">
        <f t="shared" si="27"/>
        <v>0</v>
      </c>
      <c r="G148" s="311" t="s">
        <v>101</v>
      </c>
      <c r="H148" s="293" t="s">
        <v>401</v>
      </c>
      <c r="I148" s="303">
        <v>5000</v>
      </c>
      <c r="J148" s="303"/>
      <c r="K148" s="303"/>
      <c r="L148" s="318">
        <f t="shared" si="26"/>
        <v>5000</v>
      </c>
    </row>
    <row r="149" spans="1:12" ht="12.75">
      <c r="A149" s="317" t="s">
        <v>198</v>
      </c>
      <c r="B149" s="317" t="s">
        <v>402</v>
      </c>
      <c r="C149" s="303"/>
      <c r="D149" s="303"/>
      <c r="E149" s="303"/>
      <c r="F149" s="303"/>
      <c r="G149" s="311"/>
      <c r="H149" s="293"/>
      <c r="I149" s="303"/>
      <c r="J149" s="303"/>
      <c r="K149" s="303"/>
      <c r="L149" s="303"/>
    </row>
    <row r="150" spans="1:12" ht="12.75">
      <c r="A150" s="311"/>
      <c r="B150" s="301" t="s">
        <v>403</v>
      </c>
      <c r="C150" s="304">
        <f>SUM(C135+C136+C141+C145+C146+C148+C149)</f>
        <v>582157</v>
      </c>
      <c r="D150" s="304">
        <f>SUM(D135+D136+D141+D145+D146+D148+D149)</f>
        <v>0</v>
      </c>
      <c r="E150" s="304">
        <f>SUM(E135+E136+E141+E145+E146+E148+E149)</f>
        <v>-15467</v>
      </c>
      <c r="F150" s="304">
        <f>SUM(F135+F136+F141+F145+F146+F148+F149)</f>
        <v>566690</v>
      </c>
      <c r="G150" s="311"/>
      <c r="H150" s="301" t="s">
        <v>404</v>
      </c>
      <c r="I150" s="304">
        <f>SUM(I134)</f>
        <v>592081</v>
      </c>
      <c r="J150" s="304">
        <f>SUM(J134)</f>
        <v>0</v>
      </c>
      <c r="K150" s="304">
        <f>SUM(K134)</f>
        <v>0</v>
      </c>
      <c r="L150" s="304">
        <f>SUM(I150:K150)</f>
        <v>592081</v>
      </c>
    </row>
    <row r="151" spans="1:12" ht="12.75">
      <c r="A151" s="311"/>
      <c r="B151" s="327" t="s">
        <v>405</v>
      </c>
      <c r="C151" s="328">
        <f>I152-C150</f>
        <v>9924</v>
      </c>
      <c r="D151" s="328"/>
      <c r="E151" s="328">
        <f>K152-E150</f>
        <v>15467</v>
      </c>
      <c r="F151" s="328">
        <f>SUM(C151:E151)</f>
        <v>25391</v>
      </c>
      <c r="G151" s="311"/>
      <c r="H151" s="293" t="s">
        <v>406</v>
      </c>
      <c r="I151" s="328"/>
      <c r="J151" s="328"/>
      <c r="K151" s="328"/>
      <c r="L151" s="303"/>
    </row>
    <row r="152" spans="1:12" ht="12.75">
      <c r="A152" s="311"/>
      <c r="B152" s="317" t="s">
        <v>407</v>
      </c>
      <c r="C152" s="303"/>
      <c r="D152" s="303"/>
      <c r="E152" s="303"/>
      <c r="F152" s="303"/>
      <c r="G152" s="311"/>
      <c r="H152" s="301" t="s">
        <v>408</v>
      </c>
      <c r="I152" s="304">
        <f>SUM(I135+I136+I137+I138+I145+I146)</f>
        <v>592081</v>
      </c>
      <c r="J152" s="304">
        <f>SUM(J135+J136+J137+J138+J145+J146)</f>
        <v>0</v>
      </c>
      <c r="K152" s="304">
        <f>SUM(K135+K136+K137+K138+K145+K146)</f>
        <v>0</v>
      </c>
      <c r="L152" s="304">
        <f>SUM(L135+L136+L137+L138+L145+L146)</f>
        <v>592081</v>
      </c>
    </row>
    <row r="153" spans="1:12" ht="12.75">
      <c r="A153" s="317" t="s">
        <v>409</v>
      </c>
      <c r="B153" s="317" t="s">
        <v>410</v>
      </c>
      <c r="C153" s="303">
        <v>22451</v>
      </c>
      <c r="D153" s="303"/>
      <c r="E153" s="303"/>
      <c r="F153" s="303">
        <f>SUM(C153:E153)</f>
        <v>22451</v>
      </c>
      <c r="G153" s="311"/>
      <c r="H153" s="327" t="s">
        <v>411</v>
      </c>
      <c r="I153" s="303"/>
      <c r="J153" s="303">
        <f>D150-J152</f>
        <v>0</v>
      </c>
      <c r="K153" s="303"/>
      <c r="L153" s="303"/>
    </row>
    <row r="154" spans="1:12" ht="12.75">
      <c r="A154" s="317" t="s">
        <v>412</v>
      </c>
      <c r="B154" s="317" t="s">
        <v>453</v>
      </c>
      <c r="C154" s="303">
        <v>10000</v>
      </c>
      <c r="D154" s="303"/>
      <c r="E154" s="303"/>
      <c r="F154" s="303">
        <f aca="true" t="shared" si="28" ref="F154:F165">SUM(C154:E154)</f>
        <v>10000</v>
      </c>
      <c r="G154" s="311"/>
      <c r="H154" s="317" t="s">
        <v>94</v>
      </c>
      <c r="I154" s="303"/>
      <c r="J154" s="303"/>
      <c r="K154" s="303"/>
      <c r="L154" s="303"/>
    </row>
    <row r="155" spans="1:12" ht="12.75">
      <c r="A155" s="317" t="s">
        <v>414</v>
      </c>
      <c r="B155" s="317" t="s">
        <v>415</v>
      </c>
      <c r="C155" s="303">
        <v>14011</v>
      </c>
      <c r="D155" s="303"/>
      <c r="E155" s="303">
        <v>10394</v>
      </c>
      <c r="F155" s="303">
        <f t="shared" si="28"/>
        <v>24405</v>
      </c>
      <c r="G155" s="317" t="s">
        <v>194</v>
      </c>
      <c r="H155" s="317" t="s">
        <v>416</v>
      </c>
      <c r="I155" s="303">
        <v>26935</v>
      </c>
      <c r="J155" s="303"/>
      <c r="K155" s="303"/>
      <c r="L155" s="303">
        <f>SUM(I155:K155)</f>
        <v>26935</v>
      </c>
    </row>
    <row r="156" spans="1:12" ht="12.75">
      <c r="A156" s="317" t="s">
        <v>417</v>
      </c>
      <c r="B156" s="317" t="s">
        <v>193</v>
      </c>
      <c r="C156" s="303">
        <v>6147</v>
      </c>
      <c r="D156" s="303"/>
      <c r="E156" s="303"/>
      <c r="F156" s="303">
        <f t="shared" si="28"/>
        <v>6147</v>
      </c>
      <c r="G156" s="317" t="s">
        <v>195</v>
      </c>
      <c r="H156" s="317" t="s">
        <v>377</v>
      </c>
      <c r="I156" s="303">
        <v>0</v>
      </c>
      <c r="J156" s="303">
        <f>SUM(J157:J158)</f>
        <v>0</v>
      </c>
      <c r="K156" s="303">
        <v>0</v>
      </c>
      <c r="L156" s="303">
        <f aca="true" t="shared" si="29" ref="L156:L165">SUM(I156:K156)</f>
        <v>0</v>
      </c>
    </row>
    <row r="157" spans="1:12" ht="12.75">
      <c r="A157" s="317" t="s">
        <v>194</v>
      </c>
      <c r="B157" s="317" t="s">
        <v>418</v>
      </c>
      <c r="C157" s="303">
        <f>SUM(C158:C160)</f>
        <v>4000</v>
      </c>
      <c r="D157" s="320">
        <f>SUM(D158:D160)</f>
        <v>0</v>
      </c>
      <c r="E157" s="303">
        <f>SUM(E158:E160)</f>
        <v>5073</v>
      </c>
      <c r="F157" s="303">
        <f t="shared" si="28"/>
        <v>9073</v>
      </c>
      <c r="G157" s="311" t="s">
        <v>100</v>
      </c>
      <c r="H157" s="293" t="s">
        <v>96</v>
      </c>
      <c r="I157" s="303"/>
      <c r="J157" s="303"/>
      <c r="K157" s="303"/>
      <c r="L157" s="303">
        <f t="shared" si="29"/>
        <v>0</v>
      </c>
    </row>
    <row r="158" spans="1:12" ht="12.75">
      <c r="A158" s="311" t="s">
        <v>100</v>
      </c>
      <c r="B158" s="330" t="s">
        <v>419</v>
      </c>
      <c r="C158" s="303"/>
      <c r="D158" s="303"/>
      <c r="E158" s="303"/>
      <c r="F158" s="303">
        <f t="shared" si="28"/>
        <v>0</v>
      </c>
      <c r="G158" s="311" t="s">
        <v>101</v>
      </c>
      <c r="H158" s="293" t="s">
        <v>420</v>
      </c>
      <c r="I158" s="303"/>
      <c r="J158" s="303"/>
      <c r="K158" s="303"/>
      <c r="L158" s="303">
        <f t="shared" si="29"/>
        <v>0</v>
      </c>
    </row>
    <row r="159" spans="1:12" ht="12.75">
      <c r="A159" s="311" t="s">
        <v>101</v>
      </c>
      <c r="B159" s="330" t="s">
        <v>421</v>
      </c>
      <c r="C159" s="303">
        <v>4000</v>
      </c>
      <c r="D159" s="303"/>
      <c r="E159" s="303">
        <v>5073</v>
      </c>
      <c r="F159" s="303">
        <f t="shared" si="28"/>
        <v>9073</v>
      </c>
      <c r="G159" s="317" t="s">
        <v>196</v>
      </c>
      <c r="H159" s="317" t="s">
        <v>422</v>
      </c>
      <c r="I159" s="303">
        <f>SUM(I160:I162)</f>
        <v>190047</v>
      </c>
      <c r="J159" s="303">
        <f>SUM(J160:J162)</f>
        <v>0</v>
      </c>
      <c r="K159" s="303">
        <f>SUM(K160:K162)</f>
        <v>0</v>
      </c>
      <c r="L159" s="303">
        <f t="shared" si="29"/>
        <v>190047</v>
      </c>
    </row>
    <row r="160" spans="1:12" ht="12.75">
      <c r="A160" s="311" t="s">
        <v>102</v>
      </c>
      <c r="B160" s="330" t="s">
        <v>161</v>
      </c>
      <c r="C160" s="303"/>
      <c r="D160" s="303"/>
      <c r="E160" s="303"/>
      <c r="F160" s="303">
        <f t="shared" si="28"/>
        <v>0</v>
      </c>
      <c r="G160" s="311" t="s">
        <v>100</v>
      </c>
      <c r="H160" s="330" t="s">
        <v>117</v>
      </c>
      <c r="I160" s="303">
        <v>15875</v>
      </c>
      <c r="J160" s="303"/>
      <c r="K160" s="303"/>
      <c r="L160" s="303">
        <f t="shared" si="29"/>
        <v>15875</v>
      </c>
    </row>
    <row r="161" spans="1:12" ht="12.75">
      <c r="A161" s="317" t="s">
        <v>423</v>
      </c>
      <c r="B161" s="317" t="s">
        <v>424</v>
      </c>
      <c r="C161" s="303">
        <v>52835</v>
      </c>
      <c r="D161" s="303"/>
      <c r="E161" s="303"/>
      <c r="F161" s="303">
        <f t="shared" si="28"/>
        <v>52835</v>
      </c>
      <c r="G161" s="311" t="s">
        <v>101</v>
      </c>
      <c r="H161" s="330" t="s">
        <v>97</v>
      </c>
      <c r="I161" s="303">
        <v>174172</v>
      </c>
      <c r="J161" s="303"/>
      <c r="K161" s="303"/>
      <c r="L161" s="303">
        <f t="shared" si="29"/>
        <v>174172</v>
      </c>
    </row>
    <row r="162" spans="1:12" ht="12.75">
      <c r="A162" s="317" t="s">
        <v>425</v>
      </c>
      <c r="B162" s="317" t="s">
        <v>426</v>
      </c>
      <c r="C162" s="303">
        <v>1073</v>
      </c>
      <c r="D162" s="303"/>
      <c r="E162" s="303"/>
      <c r="F162" s="303">
        <f t="shared" si="28"/>
        <v>1073</v>
      </c>
      <c r="G162" s="311" t="s">
        <v>102</v>
      </c>
      <c r="H162" s="293" t="s">
        <v>163</v>
      </c>
      <c r="I162" s="303"/>
      <c r="J162" s="303"/>
      <c r="K162" s="303"/>
      <c r="L162" s="303">
        <f t="shared" si="29"/>
        <v>0</v>
      </c>
    </row>
    <row r="163" spans="1:12" ht="12.75">
      <c r="A163" s="317" t="s">
        <v>196</v>
      </c>
      <c r="B163" s="317" t="s">
        <v>427</v>
      </c>
      <c r="C163" s="303">
        <v>0</v>
      </c>
      <c r="D163" s="303"/>
      <c r="E163" s="303"/>
      <c r="F163" s="303">
        <f t="shared" si="28"/>
        <v>0</v>
      </c>
      <c r="G163" s="317" t="s">
        <v>197</v>
      </c>
      <c r="H163" s="317" t="s">
        <v>428</v>
      </c>
      <c r="I163" s="303">
        <v>6116</v>
      </c>
      <c r="J163" s="303"/>
      <c r="K163" s="303"/>
      <c r="L163" s="303">
        <f t="shared" si="29"/>
        <v>6116</v>
      </c>
    </row>
    <row r="164" spans="1:12" ht="12.75">
      <c r="A164" s="317" t="s">
        <v>197</v>
      </c>
      <c r="B164" s="317" t="s">
        <v>428</v>
      </c>
      <c r="C164" s="303">
        <v>0</v>
      </c>
      <c r="D164" s="303"/>
      <c r="E164" s="303"/>
      <c r="F164" s="303">
        <f t="shared" si="28"/>
        <v>0</v>
      </c>
      <c r="G164" s="317" t="s">
        <v>198</v>
      </c>
      <c r="H164" s="317" t="s">
        <v>396</v>
      </c>
      <c r="I164" s="320">
        <f>SUM(I165)</f>
        <v>0</v>
      </c>
      <c r="J164" s="320"/>
      <c r="K164" s="320">
        <f>SUM(K165)</f>
        <v>15467</v>
      </c>
      <c r="L164" s="320">
        <f t="shared" si="29"/>
        <v>15467</v>
      </c>
    </row>
    <row r="165" spans="1:12" ht="12.75">
      <c r="A165" s="317" t="s">
        <v>198</v>
      </c>
      <c r="B165" s="317" t="s">
        <v>402</v>
      </c>
      <c r="C165" s="303">
        <v>112581</v>
      </c>
      <c r="D165" s="303"/>
      <c r="E165" s="303"/>
      <c r="F165" s="303">
        <f t="shared" si="28"/>
        <v>112581</v>
      </c>
      <c r="G165" s="311" t="s">
        <v>100</v>
      </c>
      <c r="H165" s="293" t="s">
        <v>398</v>
      </c>
      <c r="I165" s="303"/>
      <c r="J165" s="303"/>
      <c r="K165" s="303">
        <f>5073+10394</f>
        <v>15467</v>
      </c>
      <c r="L165" s="303">
        <f t="shared" si="29"/>
        <v>15467</v>
      </c>
    </row>
    <row r="166" spans="1:12" ht="12.75">
      <c r="A166" s="311"/>
      <c r="B166" s="301" t="s">
        <v>358</v>
      </c>
      <c r="C166" s="304">
        <f>SUM(C153+C154+C155+C156+C157+C161+C162+C163+C164+C165)</f>
        <v>223098</v>
      </c>
      <c r="D166" s="304">
        <f>SUM(D153+D154+D155+D156+D157+D161+D162+D163+D164+D165)</f>
        <v>0</v>
      </c>
      <c r="E166" s="304">
        <f>SUM(E153+E154+E155+E156+E157+E161+E162+E163+E164+E165)</f>
        <v>15467</v>
      </c>
      <c r="F166" s="304">
        <f>SUM(F153+F154+F155+F156+F157+F161+F162+F163+F164+F165)</f>
        <v>238565</v>
      </c>
      <c r="G166" s="311" t="s">
        <v>441</v>
      </c>
      <c r="H166" s="301" t="s">
        <v>358</v>
      </c>
      <c r="I166" s="304">
        <f>SUM(I155+I156+I159+I163+I164)</f>
        <v>223098</v>
      </c>
      <c r="J166" s="304">
        <f>SUM(J155+J156+J159+J163+J164)</f>
        <v>0</v>
      </c>
      <c r="K166" s="304">
        <f>SUM(K155+K156+K159+K163+K164)</f>
        <v>15467</v>
      </c>
      <c r="L166" s="304">
        <f>SUM(L155+L156+L159+L163+L164)</f>
        <v>238565</v>
      </c>
    </row>
    <row r="167" spans="1:12" ht="12.75">
      <c r="A167" s="311"/>
      <c r="B167" s="327" t="s">
        <v>433</v>
      </c>
      <c r="C167" s="328">
        <f>I166-C166</f>
        <v>0</v>
      </c>
      <c r="D167" s="328">
        <f>J166-D166</f>
        <v>0</v>
      </c>
      <c r="E167" s="328"/>
      <c r="F167" s="328"/>
      <c r="G167" s="311" t="s">
        <v>442</v>
      </c>
      <c r="H167" s="293" t="s">
        <v>434</v>
      </c>
      <c r="I167" s="303">
        <f>C166-I166</f>
        <v>0</v>
      </c>
      <c r="J167" s="303">
        <f>D166-J166</f>
        <v>0</v>
      </c>
      <c r="K167" s="303">
        <f>E166-K166</f>
        <v>0</v>
      </c>
      <c r="L167" s="303">
        <f>F166-L166</f>
        <v>0</v>
      </c>
    </row>
    <row r="168" spans="1:12" ht="13.5">
      <c r="A168" s="311"/>
      <c r="B168" s="332" t="s">
        <v>435</v>
      </c>
      <c r="C168" s="333">
        <f>SUM(C167+C151)</f>
        <v>9924</v>
      </c>
      <c r="D168" s="333">
        <f>SUM(D167+D151)</f>
        <v>0</v>
      </c>
      <c r="E168" s="333">
        <f>SUM(E167+E151)</f>
        <v>15467</v>
      </c>
      <c r="F168" s="333">
        <f>SUM(F167+F151)</f>
        <v>25391</v>
      </c>
      <c r="G168" s="311" t="s">
        <v>443</v>
      </c>
      <c r="H168" s="332" t="s">
        <v>436</v>
      </c>
      <c r="I168" s="320">
        <f>SUM(I153,I167)</f>
        <v>0</v>
      </c>
      <c r="J168" s="320">
        <f>SUM(J153,J167)</f>
        <v>0</v>
      </c>
      <c r="K168" s="320">
        <f>SUM(K153,K167)</f>
        <v>0</v>
      </c>
      <c r="L168" s="320">
        <f>SUM(L153,L167)</f>
        <v>0</v>
      </c>
    </row>
    <row r="169" spans="1:12" ht="12.75">
      <c r="A169" s="311"/>
      <c r="B169" s="301" t="s">
        <v>449</v>
      </c>
      <c r="C169" s="304">
        <f>SUM(C166+C150+C168)</f>
        <v>815179</v>
      </c>
      <c r="D169" s="304">
        <f>SUM(D166+D150+D168)</f>
        <v>0</v>
      </c>
      <c r="E169" s="304">
        <f>SUM(E166+E150+E168)</f>
        <v>15467</v>
      </c>
      <c r="F169" s="304">
        <f>SUM(F166+F150+F168)</f>
        <v>830646</v>
      </c>
      <c r="G169" s="311" t="s">
        <v>445</v>
      </c>
      <c r="H169" s="301" t="s">
        <v>450</v>
      </c>
      <c r="I169" s="304">
        <f>SUM(I152,I166,I168)</f>
        <v>815179</v>
      </c>
      <c r="J169" s="304">
        <f>SUM(J152,J166,J168)</f>
        <v>0</v>
      </c>
      <c r="K169" s="304">
        <f>SUM(K152,K166,K168)</f>
        <v>15467</v>
      </c>
      <c r="L169" s="304">
        <f>SUM(L152,L166,L168)</f>
        <v>830646</v>
      </c>
    </row>
    <row r="170" spans="1:12" ht="12.75">
      <c r="A170" s="564" t="s">
        <v>454</v>
      </c>
      <c r="B170" s="564"/>
      <c r="C170" s="564"/>
      <c r="D170" s="564"/>
      <c r="E170" s="564"/>
      <c r="F170" s="564"/>
      <c r="G170" s="564"/>
      <c r="H170" s="564"/>
      <c r="I170" s="564"/>
      <c r="J170" s="564"/>
      <c r="K170" s="564"/>
      <c r="L170" s="564"/>
    </row>
    <row r="171" spans="1:12" ht="21.75" customHeight="1">
      <c r="A171" s="564"/>
      <c r="B171" s="564"/>
      <c r="C171" s="564"/>
      <c r="D171" s="564"/>
      <c r="E171" s="564"/>
      <c r="F171" s="564"/>
      <c r="G171" s="564"/>
      <c r="H171" s="564"/>
      <c r="I171" s="564"/>
      <c r="J171" s="564"/>
      <c r="K171" s="564"/>
      <c r="L171" s="564"/>
    </row>
    <row r="172" spans="1:12" ht="15.75">
      <c r="A172" s="315" t="s">
        <v>447</v>
      </c>
      <c r="B172" s="58"/>
      <c r="C172" s="316"/>
      <c r="D172" s="316"/>
      <c r="E172" s="316"/>
      <c r="F172" s="316"/>
      <c r="G172" s="58"/>
      <c r="H172" s="58"/>
      <c r="I172" s="565" t="s">
        <v>364</v>
      </c>
      <c r="J172" s="566"/>
      <c r="K172" s="566"/>
      <c r="L172" s="566"/>
    </row>
    <row r="173" spans="1:12" ht="12.75" customHeight="1">
      <c r="A173" s="567" t="s">
        <v>365</v>
      </c>
      <c r="B173" s="569" t="s">
        <v>142</v>
      </c>
      <c r="C173" s="571" t="s">
        <v>155</v>
      </c>
      <c r="D173" s="571" t="s">
        <v>52</v>
      </c>
      <c r="E173" s="571" t="s">
        <v>53</v>
      </c>
      <c r="F173" s="571" t="s">
        <v>54</v>
      </c>
      <c r="G173" s="567" t="s">
        <v>365</v>
      </c>
      <c r="H173" s="569" t="s">
        <v>369</v>
      </c>
      <c r="I173" s="571" t="s">
        <v>155</v>
      </c>
      <c r="J173" s="571" t="s">
        <v>52</v>
      </c>
      <c r="K173" s="571" t="s">
        <v>53</v>
      </c>
      <c r="L173" s="571" t="s">
        <v>54</v>
      </c>
    </row>
    <row r="174" spans="1:12" ht="12.75">
      <c r="A174" s="567"/>
      <c r="B174" s="569"/>
      <c r="C174" s="572"/>
      <c r="D174" s="572"/>
      <c r="E174" s="572"/>
      <c r="F174" s="574"/>
      <c r="G174" s="567"/>
      <c r="H174" s="569"/>
      <c r="I174" s="572"/>
      <c r="J174" s="572"/>
      <c r="K174" s="572"/>
      <c r="L174" s="574"/>
    </row>
    <row r="175" spans="1:12" ht="12.75">
      <c r="A175" s="568"/>
      <c r="B175" s="570"/>
      <c r="C175" s="573"/>
      <c r="D175" s="573"/>
      <c r="E175" s="573"/>
      <c r="F175" s="575"/>
      <c r="G175" s="568"/>
      <c r="H175" s="570"/>
      <c r="I175" s="573"/>
      <c r="J175" s="573"/>
      <c r="K175" s="573"/>
      <c r="L175" s="575"/>
    </row>
    <row r="176" spans="1:12" ht="12.75">
      <c r="A176" s="317" t="s">
        <v>88</v>
      </c>
      <c r="B176" s="317" t="s">
        <v>185</v>
      </c>
      <c r="C176" s="318"/>
      <c r="D176" s="318"/>
      <c r="E176" s="318"/>
      <c r="F176" s="318"/>
      <c r="G176" s="317"/>
      <c r="H176" s="317" t="s">
        <v>91</v>
      </c>
      <c r="I176" s="318">
        <f>SUM(I177:I179,I180,I187,I188)</f>
        <v>274896</v>
      </c>
      <c r="J176" s="318">
        <f>SUM(J177:J179,J180,J187,J188)</f>
        <v>0</v>
      </c>
      <c r="K176" s="318">
        <f>SUM(K177:K179,K180,K187,K188)</f>
        <v>0</v>
      </c>
      <c r="L176" s="318">
        <f>SUM(L177:L179,L180,L187,L188)</f>
        <v>274896</v>
      </c>
    </row>
    <row r="177" spans="1:12" ht="12.75">
      <c r="A177" s="311" t="s">
        <v>100</v>
      </c>
      <c r="B177" s="296" t="s">
        <v>370</v>
      </c>
      <c r="C177" s="320">
        <v>11403</v>
      </c>
      <c r="D177" s="320"/>
      <c r="E177" s="320"/>
      <c r="F177" s="320">
        <f>SUM(C177:E177)</f>
        <v>11403</v>
      </c>
      <c r="G177" s="317" t="s">
        <v>88</v>
      </c>
      <c r="H177" s="317" t="s">
        <v>92</v>
      </c>
      <c r="I177" s="303">
        <f>164207-450</f>
        <v>163757</v>
      </c>
      <c r="J177" s="303"/>
      <c r="K177" s="303"/>
      <c r="L177" s="303">
        <f>SUM(I177:K177)</f>
        <v>163757</v>
      </c>
    </row>
    <row r="178" spans="1:12" ht="12.75">
      <c r="A178" s="311" t="s">
        <v>101</v>
      </c>
      <c r="B178" s="296" t="s">
        <v>371</v>
      </c>
      <c r="C178" s="320">
        <v>0</v>
      </c>
      <c r="D178" s="320"/>
      <c r="E178" s="320"/>
      <c r="F178" s="320">
        <f aca="true" t="shared" si="30" ref="F178:F187">SUM(C178:E178)</f>
        <v>0</v>
      </c>
      <c r="G178" s="317" t="s">
        <v>372</v>
      </c>
      <c r="H178" s="317" t="s">
        <v>93</v>
      </c>
      <c r="I178" s="303">
        <v>52905</v>
      </c>
      <c r="J178" s="303"/>
      <c r="K178" s="303"/>
      <c r="L178" s="303">
        <f aca="true" t="shared" si="31" ref="L178:L185">SUM(I178:K178)</f>
        <v>52905</v>
      </c>
    </row>
    <row r="179" spans="1:12" ht="12.75">
      <c r="A179" s="323" t="s">
        <v>373</v>
      </c>
      <c r="B179" s="293" t="s">
        <v>374</v>
      </c>
      <c r="C179" s="303">
        <v>0</v>
      </c>
      <c r="D179" s="303"/>
      <c r="E179" s="303"/>
      <c r="F179" s="320">
        <f t="shared" si="30"/>
        <v>0</v>
      </c>
      <c r="G179" s="317" t="s">
        <v>194</v>
      </c>
      <c r="H179" s="317" t="s">
        <v>269</v>
      </c>
      <c r="I179" s="303">
        <v>42086</v>
      </c>
      <c r="J179" s="303"/>
      <c r="K179" s="303"/>
      <c r="L179" s="303">
        <f t="shared" si="31"/>
        <v>42086</v>
      </c>
    </row>
    <row r="180" spans="1:12" ht="12.75">
      <c r="A180" s="323" t="s">
        <v>375</v>
      </c>
      <c r="B180" s="293" t="s">
        <v>376</v>
      </c>
      <c r="C180" s="303"/>
      <c r="D180" s="303"/>
      <c r="E180" s="303"/>
      <c r="F180" s="320">
        <f t="shared" si="30"/>
        <v>0</v>
      </c>
      <c r="G180" s="317" t="s">
        <v>195</v>
      </c>
      <c r="H180" s="317" t="s">
        <v>377</v>
      </c>
      <c r="I180" s="303">
        <f>SUM(I181:I185)</f>
        <v>16148</v>
      </c>
      <c r="J180" s="303"/>
      <c r="K180" s="303"/>
      <c r="L180" s="303">
        <f t="shared" si="31"/>
        <v>16148</v>
      </c>
    </row>
    <row r="181" spans="1:12" ht="12.75">
      <c r="A181" s="323" t="s">
        <v>378</v>
      </c>
      <c r="B181" s="293" t="s">
        <v>379</v>
      </c>
      <c r="C181" s="303"/>
      <c r="D181" s="303"/>
      <c r="E181" s="303"/>
      <c r="F181" s="320">
        <f t="shared" si="30"/>
        <v>0</v>
      </c>
      <c r="G181" s="311" t="s">
        <v>100</v>
      </c>
      <c r="H181" s="293" t="s">
        <v>96</v>
      </c>
      <c r="I181" s="303">
        <v>9840</v>
      </c>
      <c r="J181" s="303"/>
      <c r="K181" s="303"/>
      <c r="L181" s="303">
        <f t="shared" si="31"/>
        <v>9840</v>
      </c>
    </row>
    <row r="182" spans="1:12" ht="12.75">
      <c r="A182" s="324" t="s">
        <v>192</v>
      </c>
      <c r="B182" s="317" t="s">
        <v>186</v>
      </c>
      <c r="C182" s="303"/>
      <c r="D182" s="303"/>
      <c r="E182" s="303"/>
      <c r="F182" s="320">
        <f t="shared" si="30"/>
        <v>0</v>
      </c>
      <c r="G182" s="311" t="s">
        <v>101</v>
      </c>
      <c r="H182" s="293" t="s">
        <v>380</v>
      </c>
      <c r="I182" s="303"/>
      <c r="J182" s="303"/>
      <c r="K182" s="303"/>
      <c r="L182" s="303">
        <f t="shared" si="31"/>
        <v>0</v>
      </c>
    </row>
    <row r="183" spans="1:12" ht="12.75">
      <c r="A183" s="311" t="s">
        <v>100</v>
      </c>
      <c r="B183" s="296" t="s">
        <v>381</v>
      </c>
      <c r="C183" s="320">
        <f>SUM(C184:C186)</f>
        <v>195751</v>
      </c>
      <c r="D183" s="320">
        <f>SUM(D184:D186)</f>
        <v>0</v>
      </c>
      <c r="E183" s="320">
        <f>SUM(E184:E186)</f>
        <v>0</v>
      </c>
      <c r="F183" s="320">
        <f t="shared" si="30"/>
        <v>195751</v>
      </c>
      <c r="G183" s="311" t="s">
        <v>102</v>
      </c>
      <c r="H183" s="293" t="s">
        <v>382</v>
      </c>
      <c r="I183" s="303">
        <v>0</v>
      </c>
      <c r="J183" s="303"/>
      <c r="K183" s="303"/>
      <c r="L183" s="303">
        <f t="shared" si="31"/>
        <v>0</v>
      </c>
    </row>
    <row r="184" spans="1:12" ht="12.75">
      <c r="A184" s="311" t="s">
        <v>383</v>
      </c>
      <c r="B184" s="293" t="s">
        <v>384</v>
      </c>
      <c r="C184" s="303">
        <v>194681</v>
      </c>
      <c r="D184" s="303"/>
      <c r="E184" s="303"/>
      <c r="F184" s="320">
        <f t="shared" si="30"/>
        <v>194681</v>
      </c>
      <c r="G184" s="311" t="s">
        <v>103</v>
      </c>
      <c r="H184" s="293" t="s">
        <v>385</v>
      </c>
      <c r="I184" s="303">
        <v>252</v>
      </c>
      <c r="J184" s="303"/>
      <c r="K184" s="303"/>
      <c r="L184" s="303">
        <f t="shared" si="31"/>
        <v>252</v>
      </c>
    </row>
    <row r="185" spans="1:12" ht="12.75">
      <c r="A185" s="311" t="s">
        <v>386</v>
      </c>
      <c r="B185" s="293" t="s">
        <v>387</v>
      </c>
      <c r="C185" s="303">
        <v>0</v>
      </c>
      <c r="D185" s="303"/>
      <c r="E185" s="303"/>
      <c r="F185" s="320">
        <f t="shared" si="30"/>
        <v>0</v>
      </c>
      <c r="G185" s="311" t="s">
        <v>104</v>
      </c>
      <c r="H185" s="293" t="s">
        <v>388</v>
      </c>
      <c r="I185" s="303">
        <v>6056</v>
      </c>
      <c r="J185" s="303"/>
      <c r="K185" s="303"/>
      <c r="L185" s="303">
        <f t="shared" si="31"/>
        <v>6056</v>
      </c>
    </row>
    <row r="186" spans="1:12" ht="12.75">
      <c r="A186" s="311" t="s">
        <v>389</v>
      </c>
      <c r="B186" s="293" t="s">
        <v>390</v>
      </c>
      <c r="C186" s="303">
        <v>1070</v>
      </c>
      <c r="D186" s="303"/>
      <c r="E186" s="303"/>
      <c r="F186" s="320">
        <f t="shared" si="30"/>
        <v>1070</v>
      </c>
      <c r="G186" s="311"/>
      <c r="H186" s="293"/>
      <c r="I186" s="303"/>
      <c r="J186" s="303"/>
      <c r="K186" s="303"/>
      <c r="L186" s="303"/>
    </row>
    <row r="187" spans="1:12" ht="12.75">
      <c r="A187" s="317" t="s">
        <v>391</v>
      </c>
      <c r="B187" s="317" t="s">
        <v>392</v>
      </c>
      <c r="C187" s="303">
        <v>7054</v>
      </c>
      <c r="D187" s="303"/>
      <c r="E187" s="303"/>
      <c r="F187" s="320">
        <f t="shared" si="30"/>
        <v>7054</v>
      </c>
      <c r="G187" s="317" t="s">
        <v>197</v>
      </c>
      <c r="H187" s="317" t="s">
        <v>393</v>
      </c>
      <c r="I187" s="303"/>
      <c r="J187" s="303"/>
      <c r="K187" s="303"/>
      <c r="L187" s="303"/>
    </row>
    <row r="188" spans="1:12" ht="12.75">
      <c r="A188" s="317" t="s">
        <v>394</v>
      </c>
      <c r="B188" s="317" t="s">
        <v>395</v>
      </c>
      <c r="C188" s="303"/>
      <c r="D188" s="303"/>
      <c r="E188" s="303"/>
      <c r="F188" s="303"/>
      <c r="G188" s="317" t="s">
        <v>198</v>
      </c>
      <c r="H188" s="317" t="s">
        <v>396</v>
      </c>
      <c r="I188" s="303"/>
      <c r="J188" s="303"/>
      <c r="K188" s="303"/>
      <c r="L188" s="303"/>
    </row>
    <row r="189" spans="1:12" ht="12.75">
      <c r="A189" s="311"/>
      <c r="B189" s="293" t="s">
        <v>397</v>
      </c>
      <c r="C189" s="303"/>
      <c r="D189" s="303"/>
      <c r="E189" s="303"/>
      <c r="F189" s="303"/>
      <c r="G189" s="311" t="s">
        <v>100</v>
      </c>
      <c r="H189" s="293" t="s">
        <v>398</v>
      </c>
      <c r="I189" s="303"/>
      <c r="J189" s="303"/>
      <c r="K189" s="303"/>
      <c r="L189" s="303"/>
    </row>
    <row r="190" spans="1:12" ht="12.75">
      <c r="A190" s="317" t="s">
        <v>399</v>
      </c>
      <c r="B190" s="317" t="s">
        <v>400</v>
      </c>
      <c r="C190" s="320">
        <v>0</v>
      </c>
      <c r="D190" s="320">
        <v>0</v>
      </c>
      <c r="E190" s="320">
        <v>0</v>
      </c>
      <c r="F190" s="320"/>
      <c r="G190" s="311" t="s">
        <v>101</v>
      </c>
      <c r="H190" s="293" t="s">
        <v>401</v>
      </c>
      <c r="I190" s="303"/>
      <c r="J190" s="303"/>
      <c r="K190" s="303"/>
      <c r="L190" s="303"/>
    </row>
    <row r="191" spans="1:12" ht="12.75">
      <c r="A191" s="317" t="s">
        <v>198</v>
      </c>
      <c r="B191" s="317" t="s">
        <v>402</v>
      </c>
      <c r="C191" s="303"/>
      <c r="D191" s="303"/>
      <c r="E191" s="303"/>
      <c r="F191" s="303"/>
      <c r="G191" s="311"/>
      <c r="H191" s="293"/>
      <c r="I191" s="303"/>
      <c r="J191" s="303"/>
      <c r="K191" s="303"/>
      <c r="L191" s="303"/>
    </row>
    <row r="192" spans="1:12" ht="12.75">
      <c r="A192" s="311"/>
      <c r="B192" s="301" t="s">
        <v>403</v>
      </c>
      <c r="C192" s="304">
        <f>SUM(C177+C178+C183+C187+C188+C190+C191)</f>
        <v>214208</v>
      </c>
      <c r="D192" s="304">
        <f>SUM(D177+D178+D183+D187+D188+D190+D191)</f>
        <v>0</v>
      </c>
      <c r="E192" s="304">
        <f>SUM(E177+E178+E183+E187+E188+E190+E191)</f>
        <v>0</v>
      </c>
      <c r="F192" s="304">
        <f>SUM(F177+F178+F183+F187+F188+F190+F191)</f>
        <v>214208</v>
      </c>
      <c r="G192" s="311"/>
      <c r="H192" s="301" t="s">
        <v>404</v>
      </c>
      <c r="I192" s="304">
        <f>SUM(I177+I178+I179+I180)</f>
        <v>274896</v>
      </c>
      <c r="J192" s="304">
        <f>SUM(J177+J178+J179+J180+J187+J188)</f>
        <v>0</v>
      </c>
      <c r="K192" s="304">
        <f>SUM(K177+K178+K179+K180)</f>
        <v>0</v>
      </c>
      <c r="L192" s="304">
        <f>SUM(I192:K192)</f>
        <v>274896</v>
      </c>
    </row>
    <row r="193" spans="1:12" ht="12.75">
      <c r="A193" s="311"/>
      <c r="B193" s="327" t="s">
        <v>405</v>
      </c>
      <c r="C193" s="328">
        <f>I194-C192</f>
        <v>92078</v>
      </c>
      <c r="D193" s="328">
        <f>J194-D192</f>
        <v>0</v>
      </c>
      <c r="E193" s="328">
        <f>K194-E192</f>
        <v>0</v>
      </c>
      <c r="F193" s="328">
        <f>L194-F192</f>
        <v>92078</v>
      </c>
      <c r="G193" s="311"/>
      <c r="H193" s="293" t="s">
        <v>406</v>
      </c>
      <c r="I193" s="328">
        <f>32055-665</f>
        <v>31390</v>
      </c>
      <c r="J193" s="328"/>
      <c r="K193" s="328"/>
      <c r="L193" s="303">
        <f>SUM(I193:K193)</f>
        <v>31390</v>
      </c>
    </row>
    <row r="194" spans="1:12" ht="12.75">
      <c r="A194" s="311"/>
      <c r="B194" s="317" t="s">
        <v>407</v>
      </c>
      <c r="C194" s="303"/>
      <c r="D194" s="303"/>
      <c r="E194" s="303"/>
      <c r="F194" s="303"/>
      <c r="G194" s="311"/>
      <c r="H194" s="301" t="s">
        <v>408</v>
      </c>
      <c r="I194" s="304">
        <f>SUM(I192:I193)</f>
        <v>306286</v>
      </c>
      <c r="J194" s="304">
        <f>SUM(J192:J193)</f>
        <v>0</v>
      </c>
      <c r="K194" s="304">
        <f>SUM(K192:K193)</f>
        <v>0</v>
      </c>
      <c r="L194" s="304">
        <f>SUM(I194:K194)</f>
        <v>306286</v>
      </c>
    </row>
    <row r="195" spans="1:12" ht="12.75">
      <c r="A195" s="317" t="s">
        <v>409</v>
      </c>
      <c r="B195" s="317" t="s">
        <v>410</v>
      </c>
      <c r="C195" s="303"/>
      <c r="D195" s="303"/>
      <c r="E195" s="303"/>
      <c r="F195" s="303"/>
      <c r="G195" s="311"/>
      <c r="H195" s="327" t="s">
        <v>411</v>
      </c>
      <c r="I195" s="303"/>
      <c r="J195" s="303"/>
      <c r="K195" s="303"/>
      <c r="L195" s="303"/>
    </row>
    <row r="196" spans="1:12" ht="12.75">
      <c r="A196" s="317" t="s">
        <v>412</v>
      </c>
      <c r="B196" s="317" t="s">
        <v>413</v>
      </c>
      <c r="C196" s="303"/>
      <c r="D196" s="303"/>
      <c r="E196" s="303"/>
      <c r="F196" s="303"/>
      <c r="G196" s="311"/>
      <c r="H196" s="317" t="s">
        <v>94</v>
      </c>
      <c r="I196" s="303"/>
      <c r="J196" s="303"/>
      <c r="K196" s="303"/>
      <c r="L196" s="303"/>
    </row>
    <row r="197" spans="1:12" ht="12.75">
      <c r="A197" s="317" t="s">
        <v>414</v>
      </c>
      <c r="B197" s="317" t="s">
        <v>415</v>
      </c>
      <c r="C197" s="303"/>
      <c r="D197" s="303"/>
      <c r="E197" s="303"/>
      <c r="F197" s="303"/>
      <c r="G197" s="317" t="s">
        <v>194</v>
      </c>
      <c r="H197" s="317" t="s">
        <v>416</v>
      </c>
      <c r="I197" s="303"/>
      <c r="J197" s="303"/>
      <c r="K197" s="303"/>
      <c r="L197" s="303"/>
    </row>
    <row r="198" spans="1:12" ht="12.75">
      <c r="A198" s="317" t="s">
        <v>417</v>
      </c>
      <c r="B198" s="317" t="s">
        <v>193</v>
      </c>
      <c r="C198" s="303"/>
      <c r="D198" s="303"/>
      <c r="E198" s="303"/>
      <c r="F198" s="303"/>
      <c r="G198" s="317" t="s">
        <v>195</v>
      </c>
      <c r="H198" s="317" t="s">
        <v>377</v>
      </c>
      <c r="I198" s="303"/>
      <c r="J198" s="303"/>
      <c r="K198" s="303"/>
      <c r="L198" s="303"/>
    </row>
    <row r="199" spans="1:12" ht="12.75">
      <c r="A199" s="317" t="s">
        <v>194</v>
      </c>
      <c r="B199" s="317" t="s">
        <v>418</v>
      </c>
      <c r="C199" s="303"/>
      <c r="D199" s="303">
        <v>0</v>
      </c>
      <c r="E199" s="303"/>
      <c r="F199" s="303"/>
      <c r="G199" s="311" t="s">
        <v>100</v>
      </c>
      <c r="H199" s="293" t="s">
        <v>96</v>
      </c>
      <c r="I199" s="303"/>
      <c r="J199" s="303"/>
      <c r="K199" s="303"/>
      <c r="L199" s="303"/>
    </row>
    <row r="200" spans="1:12" ht="12.75">
      <c r="A200" s="311" t="s">
        <v>100</v>
      </c>
      <c r="B200" s="330" t="s">
        <v>419</v>
      </c>
      <c r="C200" s="303"/>
      <c r="D200" s="303"/>
      <c r="E200" s="303"/>
      <c r="F200" s="303"/>
      <c r="G200" s="311" t="s">
        <v>101</v>
      </c>
      <c r="H200" s="293" t="s">
        <v>420</v>
      </c>
      <c r="I200" s="303"/>
      <c r="J200" s="303"/>
      <c r="K200" s="303"/>
      <c r="L200" s="303"/>
    </row>
    <row r="201" spans="1:12" ht="12.75">
      <c r="A201" s="311" t="s">
        <v>101</v>
      </c>
      <c r="B201" s="330" t="s">
        <v>421</v>
      </c>
      <c r="C201" s="303"/>
      <c r="D201" s="303"/>
      <c r="E201" s="303"/>
      <c r="F201" s="303"/>
      <c r="G201" s="317" t="s">
        <v>196</v>
      </c>
      <c r="H201" s="317" t="s">
        <v>422</v>
      </c>
      <c r="I201" s="303"/>
      <c r="J201" s="303"/>
      <c r="K201" s="303"/>
      <c r="L201" s="303"/>
    </row>
    <row r="202" spans="1:12" ht="12.75">
      <c r="A202" s="311" t="s">
        <v>102</v>
      </c>
      <c r="B202" s="330" t="s">
        <v>161</v>
      </c>
      <c r="C202" s="303"/>
      <c r="D202" s="303"/>
      <c r="E202" s="303"/>
      <c r="F202" s="303"/>
      <c r="G202" s="311" t="s">
        <v>100</v>
      </c>
      <c r="H202" s="330" t="s">
        <v>117</v>
      </c>
      <c r="I202" s="303"/>
      <c r="J202" s="303"/>
      <c r="K202" s="303"/>
      <c r="L202" s="303"/>
    </row>
    <row r="203" spans="1:12" ht="12.75">
      <c r="A203" s="317" t="s">
        <v>423</v>
      </c>
      <c r="B203" s="317" t="s">
        <v>424</v>
      </c>
      <c r="C203" s="303"/>
      <c r="D203" s="303"/>
      <c r="E203" s="303"/>
      <c r="F203" s="303"/>
      <c r="G203" s="311" t="s">
        <v>101</v>
      </c>
      <c r="H203" s="330" t="s">
        <v>97</v>
      </c>
      <c r="I203" s="303"/>
      <c r="J203" s="303"/>
      <c r="K203" s="303"/>
      <c r="L203" s="303"/>
    </row>
    <row r="204" spans="1:12" ht="12.75">
      <c r="A204" s="317" t="s">
        <v>425</v>
      </c>
      <c r="B204" s="317" t="s">
        <v>426</v>
      </c>
      <c r="C204" s="303"/>
      <c r="D204" s="303"/>
      <c r="E204" s="303"/>
      <c r="F204" s="303"/>
      <c r="G204" s="311" t="s">
        <v>102</v>
      </c>
      <c r="H204" s="293" t="s">
        <v>163</v>
      </c>
      <c r="I204" s="303"/>
      <c r="J204" s="303"/>
      <c r="K204" s="303"/>
      <c r="L204" s="303"/>
    </row>
    <row r="205" spans="1:12" ht="12.75">
      <c r="A205" s="317" t="s">
        <v>196</v>
      </c>
      <c r="B205" s="317" t="s">
        <v>427</v>
      </c>
      <c r="C205" s="303">
        <v>0</v>
      </c>
      <c r="D205" s="303">
        <v>0</v>
      </c>
      <c r="E205" s="303">
        <v>0</v>
      </c>
      <c r="F205" s="303"/>
      <c r="G205" s="317" t="s">
        <v>197</v>
      </c>
      <c r="H205" s="317" t="s">
        <v>428</v>
      </c>
      <c r="I205" s="303"/>
      <c r="J205" s="303"/>
      <c r="K205" s="303"/>
      <c r="L205" s="303"/>
    </row>
    <row r="206" spans="1:12" ht="12.75">
      <c r="A206" s="317" t="s">
        <v>197</v>
      </c>
      <c r="B206" s="317" t="s">
        <v>428</v>
      </c>
      <c r="C206" s="303">
        <v>0</v>
      </c>
      <c r="D206" s="303">
        <v>0</v>
      </c>
      <c r="E206" s="303">
        <v>0</v>
      </c>
      <c r="F206" s="303"/>
      <c r="G206" s="317" t="s">
        <v>198</v>
      </c>
      <c r="H206" s="317" t="s">
        <v>396</v>
      </c>
      <c r="I206" s="303"/>
      <c r="J206" s="303"/>
      <c r="K206" s="303"/>
      <c r="L206" s="303"/>
    </row>
    <row r="207" spans="1:12" ht="12.75">
      <c r="A207" s="317" t="s">
        <v>198</v>
      </c>
      <c r="B207" s="317" t="s">
        <v>402</v>
      </c>
      <c r="C207" s="303">
        <v>0</v>
      </c>
      <c r="D207" s="303">
        <v>0</v>
      </c>
      <c r="E207" s="303">
        <v>0</v>
      </c>
      <c r="F207" s="303"/>
      <c r="G207" s="311" t="s">
        <v>100</v>
      </c>
      <c r="H207" s="293" t="s">
        <v>398</v>
      </c>
      <c r="I207" s="303"/>
      <c r="J207" s="303"/>
      <c r="K207" s="303"/>
      <c r="L207" s="303"/>
    </row>
    <row r="208" spans="1:12" ht="12.75">
      <c r="A208" s="311"/>
      <c r="B208" s="301" t="s">
        <v>429</v>
      </c>
      <c r="C208" s="304">
        <f>SUM(C205:C207)</f>
        <v>0</v>
      </c>
      <c r="D208" s="304">
        <f>SUM(D194+D195+D196+D197+D198+D199+D203+D204+D205+D206+D207)</f>
        <v>0</v>
      </c>
      <c r="E208" s="304">
        <f>SUM(E205:E207)</f>
        <v>0</v>
      </c>
      <c r="F208" s="304">
        <f>SUM(F205:F207)</f>
        <v>0</v>
      </c>
      <c r="G208" s="311" t="s">
        <v>441</v>
      </c>
      <c r="H208" s="301" t="s">
        <v>430</v>
      </c>
      <c r="I208" s="304">
        <f>SUM(I205:I207)</f>
        <v>0</v>
      </c>
      <c r="J208" s="304">
        <f>SUM(J205:J207)</f>
        <v>0</v>
      </c>
      <c r="K208" s="304">
        <f>SUM(K205:K207)</f>
        <v>0</v>
      </c>
      <c r="L208" s="304"/>
    </row>
    <row r="209" spans="1:12" ht="12.75">
      <c r="A209" s="311"/>
      <c r="B209" s="327" t="s">
        <v>433</v>
      </c>
      <c r="C209" s="328"/>
      <c r="D209" s="328">
        <f>J208-D208</f>
        <v>0</v>
      </c>
      <c r="E209" s="328"/>
      <c r="F209" s="447"/>
      <c r="G209" s="311" t="s">
        <v>442</v>
      </c>
      <c r="H209" s="293" t="s">
        <v>434</v>
      </c>
      <c r="I209" s="303">
        <f>C208-I208</f>
        <v>0</v>
      </c>
      <c r="J209" s="303"/>
      <c r="K209" s="303">
        <f>E208-K208</f>
        <v>0</v>
      </c>
      <c r="L209" s="303"/>
    </row>
    <row r="210" spans="1:12" ht="13.5">
      <c r="A210" s="311"/>
      <c r="B210" s="332" t="s">
        <v>435</v>
      </c>
      <c r="C210" s="333">
        <f>SUM(C209+C193)</f>
        <v>92078</v>
      </c>
      <c r="D210" s="333">
        <f>SUM(D209+D193)</f>
        <v>0</v>
      </c>
      <c r="E210" s="333">
        <f>SUM(E209+E193)</f>
        <v>0</v>
      </c>
      <c r="F210" s="333">
        <f>SUM(F209+F193)</f>
        <v>92078</v>
      </c>
      <c r="G210" s="311" t="s">
        <v>443</v>
      </c>
      <c r="H210" s="332" t="s">
        <v>436</v>
      </c>
      <c r="I210" s="320"/>
      <c r="J210" s="303"/>
      <c r="K210" s="320"/>
      <c r="L210" s="303"/>
    </row>
    <row r="211" spans="1:12" ht="12.75">
      <c r="A211" s="311"/>
      <c r="B211" s="301" t="s">
        <v>456</v>
      </c>
      <c r="C211" s="304">
        <f>SUM(C208+C192+C210)</f>
        <v>306286</v>
      </c>
      <c r="D211" s="304">
        <f>SUM(D208+D192+D210)</f>
        <v>0</v>
      </c>
      <c r="E211" s="304">
        <f>SUM(E208+E192+E210)</f>
        <v>0</v>
      </c>
      <c r="F211" s="304">
        <f>SUM(F208+F192+F210)</f>
        <v>306286</v>
      </c>
      <c r="G211" s="311" t="s">
        <v>445</v>
      </c>
      <c r="H211" s="301" t="s">
        <v>456</v>
      </c>
      <c r="I211" s="304">
        <f>SUM(I194,I208,I210)</f>
        <v>306286</v>
      </c>
      <c r="J211" s="304">
        <f>SUM(J194,J208,J210)</f>
        <v>0</v>
      </c>
      <c r="K211" s="304">
        <f>SUM(K194,K208,K210)</f>
        <v>0</v>
      </c>
      <c r="L211" s="304">
        <f>SUM(L194,L208,L210)</f>
        <v>306286</v>
      </c>
    </row>
    <row r="212" spans="1:12" ht="12.75">
      <c r="A212" s="564" t="s">
        <v>457</v>
      </c>
      <c r="B212" s="564"/>
      <c r="C212" s="564"/>
      <c r="D212" s="564"/>
      <c r="E212" s="564"/>
      <c r="F212" s="564"/>
      <c r="G212" s="564"/>
      <c r="H212" s="564"/>
      <c r="I212" s="564"/>
      <c r="J212" s="564"/>
      <c r="K212" s="564"/>
      <c r="L212" s="564"/>
    </row>
    <row r="213" spans="1:12" ht="18.75" customHeight="1">
      <c r="A213" s="564"/>
      <c r="B213" s="564"/>
      <c r="C213" s="564"/>
      <c r="D213" s="564"/>
      <c r="E213" s="564"/>
      <c r="F213" s="564"/>
      <c r="G213" s="564"/>
      <c r="H213" s="564"/>
      <c r="I213" s="564"/>
      <c r="J213" s="564"/>
      <c r="K213" s="564"/>
      <c r="L213" s="564"/>
    </row>
    <row r="214" spans="1:12" ht="15.75">
      <c r="A214" s="315" t="s">
        <v>447</v>
      </c>
      <c r="B214" s="58"/>
      <c r="C214" s="316"/>
      <c r="D214" s="316"/>
      <c r="E214" s="316"/>
      <c r="F214" s="316"/>
      <c r="G214" s="58"/>
      <c r="H214" s="58"/>
      <c r="I214" s="565" t="s">
        <v>364</v>
      </c>
      <c r="J214" s="566"/>
      <c r="K214" s="566"/>
      <c r="L214" s="566"/>
    </row>
    <row r="215" spans="1:12" ht="12.75" customHeight="1">
      <c r="A215" s="567" t="s">
        <v>365</v>
      </c>
      <c r="B215" s="569" t="s">
        <v>142</v>
      </c>
      <c r="C215" s="571" t="s">
        <v>155</v>
      </c>
      <c r="D215" s="571" t="s">
        <v>52</v>
      </c>
      <c r="E215" s="571" t="s">
        <v>53</v>
      </c>
      <c r="F215" s="571" t="s">
        <v>54</v>
      </c>
      <c r="G215" s="567" t="s">
        <v>365</v>
      </c>
      <c r="H215" s="569" t="s">
        <v>369</v>
      </c>
      <c r="I215" s="571" t="s">
        <v>155</v>
      </c>
      <c r="J215" s="571" t="s">
        <v>52</v>
      </c>
      <c r="K215" s="571" t="s">
        <v>53</v>
      </c>
      <c r="L215" s="571" t="s">
        <v>54</v>
      </c>
    </row>
    <row r="216" spans="1:12" ht="12.75">
      <c r="A216" s="567"/>
      <c r="B216" s="569"/>
      <c r="C216" s="572"/>
      <c r="D216" s="572"/>
      <c r="E216" s="572"/>
      <c r="F216" s="574"/>
      <c r="G216" s="567"/>
      <c r="H216" s="569"/>
      <c r="I216" s="572"/>
      <c r="J216" s="572"/>
      <c r="K216" s="572"/>
      <c r="L216" s="574"/>
    </row>
    <row r="217" spans="1:12" ht="12.75">
      <c r="A217" s="568"/>
      <c r="B217" s="570"/>
      <c r="C217" s="573"/>
      <c r="D217" s="573"/>
      <c r="E217" s="573"/>
      <c r="F217" s="575"/>
      <c r="G217" s="568"/>
      <c r="H217" s="570"/>
      <c r="I217" s="573"/>
      <c r="J217" s="573"/>
      <c r="K217" s="573"/>
      <c r="L217" s="575"/>
    </row>
    <row r="218" spans="1:12" ht="12.75">
      <c r="A218" s="317" t="s">
        <v>88</v>
      </c>
      <c r="B218" s="317" t="s">
        <v>185</v>
      </c>
      <c r="C218" s="318"/>
      <c r="D218" s="318"/>
      <c r="E218" s="318"/>
      <c r="F218" s="318"/>
      <c r="G218" s="317"/>
      <c r="H218" s="317" t="s">
        <v>91</v>
      </c>
      <c r="I218" s="318">
        <f>SUM(I219:I221,I222,I229,I230)</f>
        <v>105524</v>
      </c>
      <c r="J218" s="318">
        <f>SUM(J219:J221,J222,J229,J230)</f>
        <v>0</v>
      </c>
      <c r="K218" s="318">
        <f>SUM(K219:K221,K222,K229,K230)</f>
        <v>0</v>
      </c>
      <c r="L218" s="318">
        <f>SUM(I218:K218)</f>
        <v>105524</v>
      </c>
    </row>
    <row r="219" spans="1:12" ht="12.75">
      <c r="A219" s="311" t="s">
        <v>100</v>
      </c>
      <c r="B219" s="296" t="s">
        <v>370</v>
      </c>
      <c r="C219" s="320">
        <v>8932</v>
      </c>
      <c r="D219" s="320"/>
      <c r="E219" s="320"/>
      <c r="F219" s="320">
        <f>SUM(C219:E219)</f>
        <v>8932</v>
      </c>
      <c r="G219" s="317" t="s">
        <v>88</v>
      </c>
      <c r="H219" s="317" t="s">
        <v>92</v>
      </c>
      <c r="I219" s="303">
        <f>71432-2475</f>
        <v>68957</v>
      </c>
      <c r="J219" s="303"/>
      <c r="K219" s="303"/>
      <c r="L219" s="318">
        <f aca="true" t="shared" si="32" ref="L219:L227">SUM(I219:K219)</f>
        <v>68957</v>
      </c>
    </row>
    <row r="220" spans="1:12" ht="12.75">
      <c r="A220" s="311" t="s">
        <v>101</v>
      </c>
      <c r="B220" s="296" t="s">
        <v>371</v>
      </c>
      <c r="C220" s="320">
        <v>0</v>
      </c>
      <c r="D220" s="320">
        <v>0</v>
      </c>
      <c r="E220" s="320">
        <v>0</v>
      </c>
      <c r="F220" s="320">
        <f aca="true" t="shared" si="33" ref="F220:F232">SUM(C220:E220)</f>
        <v>0</v>
      </c>
      <c r="G220" s="317" t="s">
        <v>372</v>
      </c>
      <c r="H220" s="317" t="s">
        <v>93</v>
      </c>
      <c r="I220" s="303">
        <v>22438</v>
      </c>
      <c r="J220" s="303"/>
      <c r="K220" s="303"/>
      <c r="L220" s="318">
        <f t="shared" si="32"/>
        <v>22438</v>
      </c>
    </row>
    <row r="221" spans="1:12" ht="12.75">
      <c r="A221" s="323" t="s">
        <v>373</v>
      </c>
      <c r="B221" s="293" t="s">
        <v>374</v>
      </c>
      <c r="C221" s="303">
        <v>0</v>
      </c>
      <c r="D221" s="303">
        <v>0</v>
      </c>
      <c r="E221" s="303">
        <v>0</v>
      </c>
      <c r="F221" s="320">
        <f t="shared" si="33"/>
        <v>0</v>
      </c>
      <c r="G221" s="317" t="s">
        <v>194</v>
      </c>
      <c r="H221" s="317" t="s">
        <v>269</v>
      </c>
      <c r="I221" s="303">
        <v>10489</v>
      </c>
      <c r="J221" s="303"/>
      <c r="K221" s="303"/>
      <c r="L221" s="318">
        <f t="shared" si="32"/>
        <v>10489</v>
      </c>
    </row>
    <row r="222" spans="1:12" ht="12.75">
      <c r="A222" s="323" t="s">
        <v>375</v>
      </c>
      <c r="B222" s="293" t="s">
        <v>376</v>
      </c>
      <c r="C222" s="303"/>
      <c r="D222" s="303"/>
      <c r="E222" s="303"/>
      <c r="F222" s="320">
        <f t="shared" si="33"/>
        <v>0</v>
      </c>
      <c r="G222" s="317" t="s">
        <v>195</v>
      </c>
      <c r="H222" s="317" t="s">
        <v>377</v>
      </c>
      <c r="I222" s="303">
        <f>SUM(I223:I227)</f>
        <v>3640</v>
      </c>
      <c r="J222" s="303"/>
      <c r="K222" s="303"/>
      <c r="L222" s="318">
        <f t="shared" si="32"/>
        <v>3640</v>
      </c>
    </row>
    <row r="223" spans="1:12" ht="12.75">
      <c r="A223" s="323" t="s">
        <v>378</v>
      </c>
      <c r="B223" s="293" t="s">
        <v>379</v>
      </c>
      <c r="C223" s="303"/>
      <c r="D223" s="303"/>
      <c r="E223" s="303"/>
      <c r="F223" s="320">
        <f t="shared" si="33"/>
        <v>0</v>
      </c>
      <c r="G223" s="311" t="s">
        <v>100</v>
      </c>
      <c r="H223" s="293" t="s">
        <v>96</v>
      </c>
      <c r="I223" s="303">
        <v>3640</v>
      </c>
      <c r="J223" s="303"/>
      <c r="K223" s="303"/>
      <c r="L223" s="318">
        <f t="shared" si="32"/>
        <v>3640</v>
      </c>
    </row>
    <row r="224" spans="1:12" ht="12.75">
      <c r="A224" s="324" t="s">
        <v>192</v>
      </c>
      <c r="B224" s="317" t="s">
        <v>186</v>
      </c>
      <c r="C224" s="303"/>
      <c r="D224" s="303"/>
      <c r="E224" s="303"/>
      <c r="F224" s="320">
        <f t="shared" si="33"/>
        <v>0</v>
      </c>
      <c r="G224" s="311" t="s">
        <v>101</v>
      </c>
      <c r="H224" s="293" t="s">
        <v>380</v>
      </c>
      <c r="I224" s="303"/>
      <c r="J224" s="303"/>
      <c r="K224" s="303"/>
      <c r="L224" s="318">
        <f t="shared" si="32"/>
        <v>0</v>
      </c>
    </row>
    <row r="225" spans="1:12" ht="12.75">
      <c r="A225" s="311" t="s">
        <v>100</v>
      </c>
      <c r="B225" s="296" t="s">
        <v>381</v>
      </c>
      <c r="C225" s="320">
        <f>SUM(C226:C228)</f>
        <v>76932</v>
      </c>
      <c r="D225" s="320">
        <f>SUM(D226:D228)</f>
        <v>0</v>
      </c>
      <c r="E225" s="320">
        <f>SUM(E226:E228)</f>
        <v>0</v>
      </c>
      <c r="F225" s="320">
        <f t="shared" si="33"/>
        <v>76932</v>
      </c>
      <c r="G225" s="311" t="s">
        <v>102</v>
      </c>
      <c r="H225" s="293" t="s">
        <v>382</v>
      </c>
      <c r="I225" s="303">
        <v>0</v>
      </c>
      <c r="J225" s="303">
        <v>0</v>
      </c>
      <c r="K225" s="303">
        <v>0</v>
      </c>
      <c r="L225" s="318">
        <f t="shared" si="32"/>
        <v>0</v>
      </c>
    </row>
    <row r="226" spans="1:12" ht="12.75">
      <c r="A226" s="311" t="s">
        <v>383</v>
      </c>
      <c r="B226" s="293" t="s">
        <v>384</v>
      </c>
      <c r="C226" s="303">
        <v>76639</v>
      </c>
      <c r="D226" s="303"/>
      <c r="E226" s="303"/>
      <c r="F226" s="320">
        <f t="shared" si="33"/>
        <v>76639</v>
      </c>
      <c r="G226" s="311" t="s">
        <v>103</v>
      </c>
      <c r="H226" s="293" t="s">
        <v>385</v>
      </c>
      <c r="I226" s="303">
        <v>0</v>
      </c>
      <c r="J226" s="303">
        <v>0</v>
      </c>
      <c r="K226" s="303">
        <v>0</v>
      </c>
      <c r="L226" s="318">
        <f t="shared" si="32"/>
        <v>0</v>
      </c>
    </row>
    <row r="227" spans="1:12" ht="12.75">
      <c r="A227" s="311" t="s">
        <v>386</v>
      </c>
      <c r="B227" s="293" t="s">
        <v>387</v>
      </c>
      <c r="C227" s="303">
        <v>0</v>
      </c>
      <c r="D227" s="303"/>
      <c r="E227" s="303"/>
      <c r="F227" s="320">
        <f t="shared" si="33"/>
        <v>0</v>
      </c>
      <c r="G227" s="311" t="s">
        <v>104</v>
      </c>
      <c r="H227" s="293" t="s">
        <v>388</v>
      </c>
      <c r="I227" s="303">
        <v>0</v>
      </c>
      <c r="J227" s="303">
        <v>0</v>
      </c>
      <c r="K227" s="303">
        <v>0</v>
      </c>
      <c r="L227" s="318">
        <f t="shared" si="32"/>
        <v>0</v>
      </c>
    </row>
    <row r="228" spans="1:12" ht="12.75">
      <c r="A228" s="311" t="s">
        <v>389</v>
      </c>
      <c r="B228" s="293" t="s">
        <v>390</v>
      </c>
      <c r="C228" s="303">
        <v>293</v>
      </c>
      <c r="D228" s="303"/>
      <c r="E228" s="303"/>
      <c r="F228" s="320">
        <f t="shared" si="33"/>
        <v>293</v>
      </c>
      <c r="G228" s="311"/>
      <c r="H228" s="293"/>
      <c r="I228" s="303"/>
      <c r="J228" s="303"/>
      <c r="K228" s="303"/>
      <c r="L228" s="303"/>
    </row>
    <row r="229" spans="1:12" ht="12.75">
      <c r="A229" s="317" t="s">
        <v>391</v>
      </c>
      <c r="B229" s="317" t="s">
        <v>392</v>
      </c>
      <c r="C229" s="303">
        <v>9577</v>
      </c>
      <c r="D229" s="303"/>
      <c r="E229" s="303"/>
      <c r="F229" s="320">
        <f t="shared" si="33"/>
        <v>9577</v>
      </c>
      <c r="G229" s="317" t="s">
        <v>197</v>
      </c>
      <c r="H229" s="317" t="s">
        <v>393</v>
      </c>
      <c r="I229" s="303"/>
      <c r="J229" s="303"/>
      <c r="K229" s="303"/>
      <c r="L229" s="303"/>
    </row>
    <row r="230" spans="1:12" ht="12.75">
      <c r="A230" s="317" t="s">
        <v>394</v>
      </c>
      <c r="B230" s="317" t="s">
        <v>395</v>
      </c>
      <c r="C230" s="303"/>
      <c r="D230" s="303"/>
      <c r="E230" s="303"/>
      <c r="F230" s="320">
        <f t="shared" si="33"/>
        <v>0</v>
      </c>
      <c r="G230" s="317" t="s">
        <v>198</v>
      </c>
      <c r="H230" s="317" t="s">
        <v>396</v>
      </c>
      <c r="I230" s="303"/>
      <c r="J230" s="303"/>
      <c r="K230" s="303"/>
      <c r="L230" s="303"/>
    </row>
    <row r="231" spans="1:12" ht="12.75">
      <c r="A231" s="311"/>
      <c r="B231" s="293" t="s">
        <v>397</v>
      </c>
      <c r="C231" s="303"/>
      <c r="D231" s="303"/>
      <c r="E231" s="303"/>
      <c r="F231" s="320">
        <f t="shared" si="33"/>
        <v>0</v>
      </c>
      <c r="G231" s="311" t="s">
        <v>100</v>
      </c>
      <c r="H231" s="293" t="s">
        <v>398</v>
      </c>
      <c r="I231" s="303"/>
      <c r="J231" s="303"/>
      <c r="K231" s="303"/>
      <c r="L231" s="303"/>
    </row>
    <row r="232" spans="1:12" ht="12.75">
      <c r="A232" s="317" t="s">
        <v>399</v>
      </c>
      <c r="B232" s="317" t="s">
        <v>400</v>
      </c>
      <c r="C232" s="320">
        <v>0</v>
      </c>
      <c r="D232" s="320">
        <v>0</v>
      </c>
      <c r="E232" s="320">
        <v>0</v>
      </c>
      <c r="F232" s="320">
        <f t="shared" si="33"/>
        <v>0</v>
      </c>
      <c r="G232" s="311" t="s">
        <v>101</v>
      </c>
      <c r="H232" s="293" t="s">
        <v>401</v>
      </c>
      <c r="I232" s="303"/>
      <c r="J232" s="303"/>
      <c r="K232" s="303"/>
      <c r="L232" s="303"/>
    </row>
    <row r="233" spans="1:12" ht="12.75">
      <c r="A233" s="317" t="s">
        <v>198</v>
      </c>
      <c r="B233" s="317" t="s">
        <v>402</v>
      </c>
      <c r="C233" s="303"/>
      <c r="D233" s="303"/>
      <c r="E233" s="303"/>
      <c r="F233" s="303"/>
      <c r="G233" s="311"/>
      <c r="H233" s="293"/>
      <c r="I233" s="303"/>
      <c r="J233" s="303"/>
      <c r="K233" s="303"/>
      <c r="L233" s="303"/>
    </row>
    <row r="234" spans="1:12" ht="12.75">
      <c r="A234" s="311"/>
      <c r="B234" s="301" t="s">
        <v>403</v>
      </c>
      <c r="C234" s="304">
        <f>SUM(C219+C220+C225+C229+C230+C232+C233)</f>
        <v>95441</v>
      </c>
      <c r="D234" s="304">
        <f>SUM(D219+D220+D225+D229+D230+D232+D233)</f>
        <v>0</v>
      </c>
      <c r="E234" s="304">
        <f>SUM(E219+E220+E225+E229+E230+E232+E233)</f>
        <v>0</v>
      </c>
      <c r="F234" s="446">
        <f>SUM(C234:E234)</f>
        <v>95441</v>
      </c>
      <c r="G234" s="311"/>
      <c r="H234" s="301" t="s">
        <v>404</v>
      </c>
      <c r="I234" s="304">
        <f>SUM(I219+I220+I221+I222)</f>
        <v>105524</v>
      </c>
      <c r="J234" s="304">
        <f>SUM(J219+J220+J221+J222)</f>
        <v>0</v>
      </c>
      <c r="K234" s="304">
        <f>SUM(K219+K220+K221+K222)</f>
        <v>0</v>
      </c>
      <c r="L234" s="304">
        <f>SUM(L219+L220+L221+L222)</f>
        <v>105524</v>
      </c>
    </row>
    <row r="235" spans="1:12" ht="12.75">
      <c r="A235" s="311"/>
      <c r="B235" s="327" t="s">
        <v>405</v>
      </c>
      <c r="C235" s="328">
        <f>I236-C234</f>
        <v>30938</v>
      </c>
      <c r="D235" s="328">
        <f>J236-D234</f>
        <v>0</v>
      </c>
      <c r="E235" s="328">
        <f>K236-E234</f>
        <v>0</v>
      </c>
      <c r="F235" s="328">
        <f>L236-F234</f>
        <v>30938</v>
      </c>
      <c r="G235" s="311"/>
      <c r="H235" s="293" t="s">
        <v>406</v>
      </c>
      <c r="I235" s="328">
        <f>21140-285</f>
        <v>20855</v>
      </c>
      <c r="J235" s="328"/>
      <c r="K235" s="328"/>
      <c r="L235" s="303">
        <f>SUM(I235:K235)</f>
        <v>20855</v>
      </c>
    </row>
    <row r="236" spans="1:12" ht="12.75">
      <c r="A236" s="311"/>
      <c r="B236" s="317" t="s">
        <v>407</v>
      </c>
      <c r="C236" s="303"/>
      <c r="D236" s="303"/>
      <c r="E236" s="303"/>
      <c r="F236" s="303"/>
      <c r="G236" s="311"/>
      <c r="H236" s="301" t="s">
        <v>408</v>
      </c>
      <c r="I236" s="304">
        <f>SUM(I234:I235)</f>
        <v>126379</v>
      </c>
      <c r="J236" s="304">
        <f>SUM(J234:J235)</f>
        <v>0</v>
      </c>
      <c r="K236" s="304">
        <f>SUM(K234:K235)</f>
        <v>0</v>
      </c>
      <c r="L236" s="304">
        <f>SUM(L234:L235)</f>
        <v>126379</v>
      </c>
    </row>
    <row r="237" spans="1:12" ht="12.75">
      <c r="A237" s="317" t="s">
        <v>409</v>
      </c>
      <c r="B237" s="317" t="s">
        <v>410</v>
      </c>
      <c r="C237" s="303"/>
      <c r="D237" s="303"/>
      <c r="E237" s="303"/>
      <c r="F237" s="303"/>
      <c r="G237" s="311"/>
      <c r="H237" s="327" t="s">
        <v>411</v>
      </c>
      <c r="I237" s="303"/>
      <c r="J237" s="303"/>
      <c r="K237" s="303"/>
      <c r="L237" s="303"/>
    </row>
    <row r="238" spans="1:12" ht="12.75">
      <c r="A238" s="317" t="s">
        <v>412</v>
      </c>
      <c r="B238" s="317" t="s">
        <v>413</v>
      </c>
      <c r="C238" s="303"/>
      <c r="D238" s="303"/>
      <c r="E238" s="303"/>
      <c r="F238" s="303"/>
      <c r="G238" s="311"/>
      <c r="H238" s="317" t="s">
        <v>94</v>
      </c>
      <c r="I238" s="303"/>
      <c r="J238" s="303"/>
      <c r="K238" s="303"/>
      <c r="L238" s="303"/>
    </row>
    <row r="239" spans="1:12" ht="12.75">
      <c r="A239" s="317" t="s">
        <v>414</v>
      </c>
      <c r="B239" s="317" t="s">
        <v>415</v>
      </c>
      <c r="C239" s="303"/>
      <c r="D239" s="303"/>
      <c r="E239" s="303"/>
      <c r="F239" s="303"/>
      <c r="G239" s="317" t="s">
        <v>194</v>
      </c>
      <c r="H239" s="317" t="s">
        <v>416</v>
      </c>
      <c r="I239" s="303"/>
      <c r="J239" s="303"/>
      <c r="K239" s="303"/>
      <c r="L239" s="303"/>
    </row>
    <row r="240" spans="1:12" ht="12.75">
      <c r="A240" s="317" t="s">
        <v>417</v>
      </c>
      <c r="B240" s="317" t="s">
        <v>193</v>
      </c>
      <c r="C240" s="303"/>
      <c r="D240" s="303"/>
      <c r="E240" s="303"/>
      <c r="F240" s="303"/>
      <c r="G240" s="317" t="s">
        <v>195</v>
      </c>
      <c r="H240" s="317" t="s">
        <v>377</v>
      </c>
      <c r="I240" s="303"/>
      <c r="J240" s="303"/>
      <c r="K240" s="303"/>
      <c r="L240" s="303"/>
    </row>
    <row r="241" spans="1:12" ht="12.75">
      <c r="A241" s="317" t="s">
        <v>194</v>
      </c>
      <c r="B241" s="317" t="s">
        <v>418</v>
      </c>
      <c r="C241" s="303"/>
      <c r="D241" s="303"/>
      <c r="E241" s="303"/>
      <c r="F241" s="303"/>
      <c r="G241" s="311" t="s">
        <v>100</v>
      </c>
      <c r="H241" s="293" t="s">
        <v>96</v>
      </c>
      <c r="I241" s="303"/>
      <c r="J241" s="303"/>
      <c r="K241" s="303"/>
      <c r="L241" s="303"/>
    </row>
    <row r="242" spans="1:12" ht="12.75">
      <c r="A242" s="311" t="s">
        <v>100</v>
      </c>
      <c r="B242" s="330" t="s">
        <v>419</v>
      </c>
      <c r="C242" s="303"/>
      <c r="D242" s="303"/>
      <c r="E242" s="303"/>
      <c r="F242" s="303"/>
      <c r="G242" s="311" t="s">
        <v>101</v>
      </c>
      <c r="H242" s="293" t="s">
        <v>420</v>
      </c>
      <c r="I242" s="303"/>
      <c r="J242" s="303"/>
      <c r="K242" s="303"/>
      <c r="L242" s="303"/>
    </row>
    <row r="243" spans="1:12" ht="12.75">
      <c r="A243" s="311" t="s">
        <v>101</v>
      </c>
      <c r="B243" s="330" t="s">
        <v>421</v>
      </c>
      <c r="C243" s="303"/>
      <c r="D243" s="303"/>
      <c r="E243" s="303"/>
      <c r="F243" s="303"/>
      <c r="G243" s="317" t="s">
        <v>196</v>
      </c>
      <c r="H243" s="317" t="s">
        <v>422</v>
      </c>
      <c r="I243" s="303"/>
      <c r="J243" s="303"/>
      <c r="K243" s="303"/>
      <c r="L243" s="303"/>
    </row>
    <row r="244" spans="1:12" ht="12.75">
      <c r="A244" s="311" t="s">
        <v>102</v>
      </c>
      <c r="B244" s="330" t="s">
        <v>161</v>
      </c>
      <c r="C244" s="303"/>
      <c r="D244" s="303"/>
      <c r="E244" s="303"/>
      <c r="F244" s="303"/>
      <c r="G244" s="311" t="s">
        <v>100</v>
      </c>
      <c r="H244" s="330" t="s">
        <v>117</v>
      </c>
      <c r="I244" s="303"/>
      <c r="J244" s="303"/>
      <c r="K244" s="303"/>
      <c r="L244" s="303"/>
    </row>
    <row r="245" spans="1:12" ht="12.75">
      <c r="A245" s="317" t="s">
        <v>423</v>
      </c>
      <c r="B245" s="317" t="s">
        <v>424</v>
      </c>
      <c r="C245" s="303"/>
      <c r="D245" s="303"/>
      <c r="E245" s="303"/>
      <c r="F245" s="303"/>
      <c r="G245" s="311" t="s">
        <v>101</v>
      </c>
      <c r="H245" s="330" t="s">
        <v>97</v>
      </c>
      <c r="I245" s="303"/>
      <c r="J245" s="303"/>
      <c r="K245" s="303"/>
      <c r="L245" s="303"/>
    </row>
    <row r="246" spans="1:12" ht="12.75">
      <c r="A246" s="317" t="s">
        <v>425</v>
      </c>
      <c r="B246" s="317" t="s">
        <v>426</v>
      </c>
      <c r="C246" s="303"/>
      <c r="D246" s="303"/>
      <c r="E246" s="303"/>
      <c r="F246" s="303"/>
      <c r="G246" s="311" t="s">
        <v>102</v>
      </c>
      <c r="H246" s="293" t="s">
        <v>163</v>
      </c>
      <c r="I246" s="303"/>
      <c r="J246" s="303"/>
      <c r="K246" s="303"/>
      <c r="L246" s="303"/>
    </row>
    <row r="247" spans="1:12" ht="12.75">
      <c r="A247" s="317" t="s">
        <v>196</v>
      </c>
      <c r="B247" s="317" t="s">
        <v>427</v>
      </c>
      <c r="C247" s="303">
        <v>0</v>
      </c>
      <c r="D247" s="303">
        <v>0</v>
      </c>
      <c r="E247" s="303">
        <v>0</v>
      </c>
      <c r="F247" s="303"/>
      <c r="G247" s="317" t="s">
        <v>197</v>
      </c>
      <c r="H247" s="317" t="s">
        <v>428</v>
      </c>
      <c r="I247" s="303"/>
      <c r="J247" s="303"/>
      <c r="K247" s="303"/>
      <c r="L247" s="303"/>
    </row>
    <row r="248" spans="1:12" ht="12.75">
      <c r="A248" s="317" t="s">
        <v>197</v>
      </c>
      <c r="B248" s="317" t="s">
        <v>428</v>
      </c>
      <c r="C248" s="303">
        <v>0</v>
      </c>
      <c r="D248" s="303">
        <v>0</v>
      </c>
      <c r="E248" s="303">
        <v>0</v>
      </c>
      <c r="F248" s="303"/>
      <c r="G248" s="317" t="s">
        <v>198</v>
      </c>
      <c r="H248" s="317" t="s">
        <v>396</v>
      </c>
      <c r="I248" s="303"/>
      <c r="J248" s="303"/>
      <c r="K248" s="303"/>
      <c r="L248" s="303"/>
    </row>
    <row r="249" spans="1:12" ht="12.75">
      <c r="A249" s="317" t="s">
        <v>198</v>
      </c>
      <c r="B249" s="317" t="s">
        <v>402</v>
      </c>
      <c r="C249" s="303">
        <v>0</v>
      </c>
      <c r="D249" s="303">
        <v>0</v>
      </c>
      <c r="E249" s="303">
        <v>0</v>
      </c>
      <c r="F249" s="303"/>
      <c r="G249" s="311" t="s">
        <v>100</v>
      </c>
      <c r="H249" s="293" t="s">
        <v>398</v>
      </c>
      <c r="I249" s="303"/>
      <c r="J249" s="303"/>
      <c r="K249" s="303"/>
      <c r="L249" s="303"/>
    </row>
    <row r="250" spans="1:12" ht="12.75">
      <c r="A250" s="311"/>
      <c r="B250" s="301" t="s">
        <v>429</v>
      </c>
      <c r="C250" s="304">
        <f>SUM(C247:C249)</f>
        <v>0</v>
      </c>
      <c r="D250" s="304">
        <f>SUM(D247:D249)</f>
        <v>0</v>
      </c>
      <c r="E250" s="304">
        <f>SUM(E247:E249)</f>
        <v>0</v>
      </c>
      <c r="F250" s="304"/>
      <c r="G250" s="311" t="s">
        <v>441</v>
      </c>
      <c r="H250" s="301" t="s">
        <v>430</v>
      </c>
      <c r="I250" s="304">
        <f>SUM(I247:I249)</f>
        <v>0</v>
      </c>
      <c r="J250" s="304">
        <f>SUM(J247:J249)</f>
        <v>0</v>
      </c>
      <c r="K250" s="304">
        <f>SUM(K247:K249)</f>
        <v>0</v>
      </c>
      <c r="L250" s="304"/>
    </row>
    <row r="251" spans="1:12" ht="12.75">
      <c r="A251" s="311"/>
      <c r="B251" s="327" t="s">
        <v>433</v>
      </c>
      <c r="C251" s="328"/>
      <c r="D251" s="328">
        <f>J250-D250</f>
        <v>0</v>
      </c>
      <c r="E251" s="328"/>
      <c r="F251" s="447"/>
      <c r="G251" s="311" t="s">
        <v>442</v>
      </c>
      <c r="H251" s="293" t="s">
        <v>434</v>
      </c>
      <c r="I251" s="303">
        <f>C250-I250</f>
        <v>0</v>
      </c>
      <c r="J251" s="303"/>
      <c r="K251" s="303">
        <f>E250-K250</f>
        <v>0</v>
      </c>
      <c r="L251" s="303"/>
    </row>
    <row r="252" spans="1:12" ht="13.5">
      <c r="A252" s="311"/>
      <c r="B252" s="332" t="s">
        <v>435</v>
      </c>
      <c r="C252" s="333">
        <f>SUM(C251+C235)</f>
        <v>30938</v>
      </c>
      <c r="D252" s="333">
        <f>SUM(D251+D235)</f>
        <v>0</v>
      </c>
      <c r="E252" s="333">
        <f>SUM(E251+E235)</f>
        <v>0</v>
      </c>
      <c r="F252" s="333">
        <f>SUM(F251+F235)</f>
        <v>30938</v>
      </c>
      <c r="G252" s="311" t="s">
        <v>443</v>
      </c>
      <c r="H252" s="332" t="s">
        <v>436</v>
      </c>
      <c r="I252" s="303"/>
      <c r="J252" s="303"/>
      <c r="K252" s="303"/>
      <c r="L252" s="303"/>
    </row>
    <row r="253" spans="1:12" ht="12.75">
      <c r="A253" s="311"/>
      <c r="B253" s="301" t="s">
        <v>458</v>
      </c>
      <c r="C253" s="304">
        <f>SUM(C250+C234+C252)</f>
        <v>126379</v>
      </c>
      <c r="D253" s="304">
        <f>SUM(D250+D234+D252)</f>
        <v>0</v>
      </c>
      <c r="E253" s="304">
        <f>SUM(E250+E234+E252)</f>
        <v>0</v>
      </c>
      <c r="F253" s="304">
        <f>SUM(F250+F234+F252)</f>
        <v>126379</v>
      </c>
      <c r="G253" s="311" t="s">
        <v>445</v>
      </c>
      <c r="H253" s="301" t="s">
        <v>458</v>
      </c>
      <c r="I253" s="304">
        <f>SUM(I236,I250,I252)</f>
        <v>126379</v>
      </c>
      <c r="J253" s="304">
        <f>SUM(J236,J250,J252)</f>
        <v>0</v>
      </c>
      <c r="K253" s="304">
        <f>SUM(K236,K250,K252)</f>
        <v>0</v>
      </c>
      <c r="L253" s="304">
        <f>SUM(L236,L250,L252)</f>
        <v>126379</v>
      </c>
    </row>
    <row r="254" spans="1:12" ht="12.75">
      <c r="A254" s="564" t="s">
        <v>459</v>
      </c>
      <c r="B254" s="564"/>
      <c r="C254" s="564"/>
      <c r="D254" s="564"/>
      <c r="E254" s="564"/>
      <c r="F254" s="564"/>
      <c r="G254" s="564"/>
      <c r="H254" s="564"/>
      <c r="I254" s="564"/>
      <c r="J254" s="564"/>
      <c r="K254" s="564"/>
      <c r="L254" s="564"/>
    </row>
    <row r="255" spans="1:12" ht="12.75">
      <c r="A255" s="564"/>
      <c r="B255" s="564"/>
      <c r="C255" s="564"/>
      <c r="D255" s="564"/>
      <c r="E255" s="564"/>
      <c r="F255" s="564"/>
      <c r="G255" s="564"/>
      <c r="H255" s="564"/>
      <c r="I255" s="564"/>
      <c r="J255" s="564"/>
      <c r="K255" s="564"/>
      <c r="L255" s="564"/>
    </row>
    <row r="256" spans="1:12" ht="15.75">
      <c r="A256" s="315" t="s">
        <v>447</v>
      </c>
      <c r="B256" s="58"/>
      <c r="C256" s="316"/>
      <c r="D256" s="316"/>
      <c r="E256" s="316"/>
      <c r="F256" s="316"/>
      <c r="G256" s="58"/>
      <c r="H256" s="58"/>
      <c r="I256" s="565" t="s">
        <v>364</v>
      </c>
      <c r="J256" s="566"/>
      <c r="K256" s="566"/>
      <c r="L256" s="566"/>
    </row>
    <row r="257" spans="1:12" ht="12.75" customHeight="1">
      <c r="A257" s="567" t="s">
        <v>365</v>
      </c>
      <c r="B257" s="569" t="s">
        <v>142</v>
      </c>
      <c r="C257" s="571" t="s">
        <v>155</v>
      </c>
      <c r="D257" s="571" t="s">
        <v>52</v>
      </c>
      <c r="E257" s="571" t="s">
        <v>53</v>
      </c>
      <c r="F257" s="571" t="s">
        <v>54</v>
      </c>
      <c r="G257" s="567" t="s">
        <v>365</v>
      </c>
      <c r="H257" s="569" t="s">
        <v>369</v>
      </c>
      <c r="I257" s="571" t="s">
        <v>155</v>
      </c>
      <c r="J257" s="571" t="s">
        <v>52</v>
      </c>
      <c r="K257" s="571" t="s">
        <v>53</v>
      </c>
      <c r="L257" s="571" t="s">
        <v>54</v>
      </c>
    </row>
    <row r="258" spans="1:12" ht="12.75">
      <c r="A258" s="567"/>
      <c r="B258" s="569"/>
      <c r="C258" s="572"/>
      <c r="D258" s="572"/>
      <c r="E258" s="572"/>
      <c r="F258" s="574"/>
      <c r="G258" s="567"/>
      <c r="H258" s="569"/>
      <c r="I258" s="572"/>
      <c r="J258" s="572"/>
      <c r="K258" s="572"/>
      <c r="L258" s="574"/>
    </row>
    <row r="259" spans="1:12" ht="12.75">
      <c r="A259" s="568"/>
      <c r="B259" s="570"/>
      <c r="C259" s="573"/>
      <c r="D259" s="573"/>
      <c r="E259" s="573"/>
      <c r="F259" s="575"/>
      <c r="G259" s="568"/>
      <c r="H259" s="570"/>
      <c r="I259" s="573"/>
      <c r="J259" s="573"/>
      <c r="K259" s="573"/>
      <c r="L259" s="575"/>
    </row>
    <row r="260" spans="1:12" ht="12.75">
      <c r="A260" s="317" t="s">
        <v>88</v>
      </c>
      <c r="B260" s="317" t="s">
        <v>185</v>
      </c>
      <c r="C260" s="318"/>
      <c r="D260" s="318"/>
      <c r="E260" s="318"/>
      <c r="F260" s="318"/>
      <c r="G260" s="317"/>
      <c r="H260" s="317" t="s">
        <v>91</v>
      </c>
      <c r="I260" s="318">
        <f>SUM(I261:I263,I264,I271,I272)</f>
        <v>34578</v>
      </c>
      <c r="J260" s="318">
        <f>SUM(J261:J263,J264,J271,J272)</f>
        <v>0</v>
      </c>
      <c r="K260" s="318">
        <f>SUM(K261:K263,K264,K271,K272)</f>
        <v>0</v>
      </c>
      <c r="L260" s="318">
        <f>SUM(I260:K260)</f>
        <v>34578</v>
      </c>
    </row>
    <row r="261" spans="1:12" ht="12.75">
      <c r="A261" s="311" t="s">
        <v>100</v>
      </c>
      <c r="B261" s="296" t="s">
        <v>370</v>
      </c>
      <c r="C261" s="320">
        <v>19693</v>
      </c>
      <c r="D261" s="320"/>
      <c r="E261" s="320"/>
      <c r="F261" s="320">
        <f>SUM(C261:E261)</f>
        <v>19693</v>
      </c>
      <c r="G261" s="317" t="s">
        <v>88</v>
      </c>
      <c r="H261" s="317" t="s">
        <v>92</v>
      </c>
      <c r="I261" s="303">
        <f>18500</f>
        <v>18500</v>
      </c>
      <c r="J261" s="303"/>
      <c r="K261" s="303"/>
      <c r="L261" s="318">
        <f aca="true" t="shared" si="34" ref="L261:L270">SUM(I261:K261)</f>
        <v>18500</v>
      </c>
    </row>
    <row r="262" spans="1:12" ht="12.75">
      <c r="A262" s="311" t="s">
        <v>101</v>
      </c>
      <c r="B262" s="296" t="s">
        <v>371</v>
      </c>
      <c r="C262" s="320">
        <v>0</v>
      </c>
      <c r="D262" s="320"/>
      <c r="E262" s="320"/>
      <c r="F262" s="320">
        <f aca="true" t="shared" si="35" ref="F262:F275">SUM(C262:E262)</f>
        <v>0</v>
      </c>
      <c r="G262" s="317" t="s">
        <v>372</v>
      </c>
      <c r="H262" s="317" t="s">
        <v>93</v>
      </c>
      <c r="I262" s="303">
        <v>6148</v>
      </c>
      <c r="J262" s="303"/>
      <c r="K262" s="303"/>
      <c r="L262" s="318">
        <f t="shared" si="34"/>
        <v>6148</v>
      </c>
    </row>
    <row r="263" spans="1:12" ht="12.75">
      <c r="A263" s="323" t="s">
        <v>373</v>
      </c>
      <c r="B263" s="293" t="s">
        <v>374</v>
      </c>
      <c r="C263" s="303">
        <v>0</v>
      </c>
      <c r="D263" s="303">
        <v>0</v>
      </c>
      <c r="E263" s="303">
        <v>0</v>
      </c>
      <c r="F263" s="320">
        <f t="shared" si="35"/>
        <v>0</v>
      </c>
      <c r="G263" s="317" t="s">
        <v>194</v>
      </c>
      <c r="H263" s="317" t="s">
        <v>269</v>
      </c>
      <c r="I263" s="303">
        <v>9930</v>
      </c>
      <c r="J263" s="303"/>
      <c r="K263" s="303"/>
      <c r="L263" s="318">
        <f t="shared" si="34"/>
        <v>9930</v>
      </c>
    </row>
    <row r="264" spans="1:12" ht="12.75">
      <c r="A264" s="323" t="s">
        <v>375</v>
      </c>
      <c r="B264" s="293" t="s">
        <v>376</v>
      </c>
      <c r="C264" s="303"/>
      <c r="D264" s="303"/>
      <c r="E264" s="303"/>
      <c r="F264" s="320">
        <f t="shared" si="35"/>
        <v>0</v>
      </c>
      <c r="G264" s="317" t="s">
        <v>195</v>
      </c>
      <c r="H264" s="317" t="s">
        <v>377</v>
      </c>
      <c r="I264" s="303"/>
      <c r="J264" s="303"/>
      <c r="K264" s="303"/>
      <c r="L264" s="318">
        <f t="shared" si="34"/>
        <v>0</v>
      </c>
    </row>
    <row r="265" spans="1:12" ht="12.75">
      <c r="A265" s="323" t="s">
        <v>378</v>
      </c>
      <c r="B265" s="293" t="s">
        <v>379</v>
      </c>
      <c r="C265" s="303"/>
      <c r="D265" s="303"/>
      <c r="E265" s="303"/>
      <c r="F265" s="320">
        <f t="shared" si="35"/>
        <v>0</v>
      </c>
      <c r="G265" s="311" t="s">
        <v>100</v>
      </c>
      <c r="H265" s="293" t="s">
        <v>96</v>
      </c>
      <c r="I265" s="303"/>
      <c r="J265" s="303"/>
      <c r="K265" s="303"/>
      <c r="L265" s="318">
        <f t="shared" si="34"/>
        <v>0</v>
      </c>
    </row>
    <row r="266" spans="1:12" ht="12.75">
      <c r="A266" s="324" t="s">
        <v>192</v>
      </c>
      <c r="B266" s="317" t="s">
        <v>186</v>
      </c>
      <c r="C266" s="303"/>
      <c r="D266" s="303"/>
      <c r="E266" s="303"/>
      <c r="F266" s="320">
        <f t="shared" si="35"/>
        <v>0</v>
      </c>
      <c r="G266" s="311" t="s">
        <v>101</v>
      </c>
      <c r="H266" s="293" t="s">
        <v>380</v>
      </c>
      <c r="I266" s="303"/>
      <c r="J266" s="303"/>
      <c r="K266" s="303"/>
      <c r="L266" s="318">
        <f t="shared" si="34"/>
        <v>0</v>
      </c>
    </row>
    <row r="267" spans="1:12" ht="12.75">
      <c r="A267" s="311" t="s">
        <v>100</v>
      </c>
      <c r="B267" s="296" t="s">
        <v>381</v>
      </c>
      <c r="C267" s="320">
        <f>SUM(C268:C270)</f>
        <v>23539</v>
      </c>
      <c r="D267" s="320">
        <f>SUM(D268:D270)</f>
        <v>0</v>
      </c>
      <c r="E267" s="320">
        <f>SUM(E268:E270)</f>
        <v>0</v>
      </c>
      <c r="F267" s="320">
        <f t="shared" si="35"/>
        <v>23539</v>
      </c>
      <c r="G267" s="311" t="s">
        <v>102</v>
      </c>
      <c r="H267" s="293" t="s">
        <v>382</v>
      </c>
      <c r="I267" s="303">
        <v>0</v>
      </c>
      <c r="J267" s="303">
        <v>0</v>
      </c>
      <c r="K267" s="303">
        <v>0</v>
      </c>
      <c r="L267" s="318">
        <f t="shared" si="34"/>
        <v>0</v>
      </c>
    </row>
    <row r="268" spans="1:12" ht="12.75">
      <c r="A268" s="311" t="s">
        <v>383</v>
      </c>
      <c r="B268" s="293" t="s">
        <v>384</v>
      </c>
      <c r="C268" s="303">
        <v>23454</v>
      </c>
      <c r="D268" s="303"/>
      <c r="E268" s="303"/>
      <c r="F268" s="320">
        <f t="shared" si="35"/>
        <v>23454</v>
      </c>
      <c r="G268" s="311" t="s">
        <v>103</v>
      </c>
      <c r="H268" s="293" t="s">
        <v>385</v>
      </c>
      <c r="I268" s="303">
        <v>0</v>
      </c>
      <c r="J268" s="303">
        <v>0</v>
      </c>
      <c r="K268" s="303">
        <v>0</v>
      </c>
      <c r="L268" s="318">
        <f t="shared" si="34"/>
        <v>0</v>
      </c>
    </row>
    <row r="269" spans="1:12" ht="12.75">
      <c r="A269" s="311" t="s">
        <v>386</v>
      </c>
      <c r="B269" s="293" t="s">
        <v>387</v>
      </c>
      <c r="C269" s="303"/>
      <c r="D269" s="303"/>
      <c r="E269" s="303"/>
      <c r="F269" s="320">
        <f t="shared" si="35"/>
        <v>0</v>
      </c>
      <c r="G269" s="311" t="s">
        <v>104</v>
      </c>
      <c r="H269" s="293" t="s">
        <v>388</v>
      </c>
      <c r="I269" s="303">
        <v>0</v>
      </c>
      <c r="J269" s="303">
        <v>0</v>
      </c>
      <c r="K269" s="303">
        <v>0</v>
      </c>
      <c r="L269" s="318">
        <f t="shared" si="34"/>
        <v>0</v>
      </c>
    </row>
    <row r="270" spans="1:12" ht="12.75">
      <c r="A270" s="311" t="s">
        <v>389</v>
      </c>
      <c r="B270" s="293" t="s">
        <v>390</v>
      </c>
      <c r="C270" s="303">
        <v>85</v>
      </c>
      <c r="D270" s="303"/>
      <c r="E270" s="303"/>
      <c r="F270" s="320">
        <f t="shared" si="35"/>
        <v>85</v>
      </c>
      <c r="G270" s="311"/>
      <c r="H270" s="293"/>
      <c r="I270" s="303"/>
      <c r="J270" s="303"/>
      <c r="K270" s="303"/>
      <c r="L270" s="318">
        <f t="shared" si="34"/>
        <v>0</v>
      </c>
    </row>
    <row r="271" spans="1:12" ht="12.75">
      <c r="A271" s="317" t="s">
        <v>391</v>
      </c>
      <c r="B271" s="317" t="s">
        <v>392</v>
      </c>
      <c r="C271" s="303">
        <v>11100</v>
      </c>
      <c r="D271" s="303"/>
      <c r="E271" s="303"/>
      <c r="F271" s="320">
        <f t="shared" si="35"/>
        <v>11100</v>
      </c>
      <c r="G271" s="317" t="s">
        <v>197</v>
      </c>
      <c r="H271" s="317" t="s">
        <v>393</v>
      </c>
      <c r="I271" s="303"/>
      <c r="J271" s="303"/>
      <c r="K271" s="303"/>
      <c r="L271" s="303"/>
    </row>
    <row r="272" spans="1:12" ht="12.75">
      <c r="A272" s="317" t="s">
        <v>394</v>
      </c>
      <c r="B272" s="317" t="s">
        <v>395</v>
      </c>
      <c r="C272" s="303"/>
      <c r="D272" s="303"/>
      <c r="E272" s="303"/>
      <c r="F272" s="320">
        <f t="shared" si="35"/>
        <v>0</v>
      </c>
      <c r="G272" s="317" t="s">
        <v>198</v>
      </c>
      <c r="H272" s="317" t="s">
        <v>396</v>
      </c>
      <c r="I272" s="303"/>
      <c r="J272" s="303"/>
      <c r="K272" s="303"/>
      <c r="L272" s="303"/>
    </row>
    <row r="273" spans="1:12" ht="12.75">
      <c r="A273" s="311"/>
      <c r="B273" s="293" t="s">
        <v>397</v>
      </c>
      <c r="C273" s="303"/>
      <c r="D273" s="303"/>
      <c r="E273" s="303"/>
      <c r="F273" s="320">
        <f t="shared" si="35"/>
        <v>0</v>
      </c>
      <c r="G273" s="311" t="s">
        <v>100</v>
      </c>
      <c r="H273" s="293" t="s">
        <v>398</v>
      </c>
      <c r="I273" s="303"/>
      <c r="J273" s="303"/>
      <c r="K273" s="303"/>
      <c r="L273" s="303"/>
    </row>
    <row r="274" spans="1:12" ht="12.75">
      <c r="A274" s="317" t="s">
        <v>399</v>
      </c>
      <c r="B274" s="317" t="s">
        <v>400</v>
      </c>
      <c r="C274" s="320">
        <v>0</v>
      </c>
      <c r="D274" s="320">
        <v>0</v>
      </c>
      <c r="E274" s="320">
        <v>0</v>
      </c>
      <c r="F274" s="320">
        <f t="shared" si="35"/>
        <v>0</v>
      </c>
      <c r="G274" s="311" t="s">
        <v>101</v>
      </c>
      <c r="H274" s="293" t="s">
        <v>401</v>
      </c>
      <c r="I274" s="303"/>
      <c r="J274" s="303"/>
      <c r="K274" s="303"/>
      <c r="L274" s="303"/>
    </row>
    <row r="275" spans="1:12" ht="12.75">
      <c r="A275" s="317" t="s">
        <v>198</v>
      </c>
      <c r="B275" s="317" t="s">
        <v>402</v>
      </c>
      <c r="C275" s="303"/>
      <c r="D275" s="303"/>
      <c r="E275" s="303"/>
      <c r="F275" s="320">
        <f t="shared" si="35"/>
        <v>0</v>
      </c>
      <c r="G275" s="311"/>
      <c r="H275" s="293"/>
      <c r="I275" s="303"/>
      <c r="J275" s="303"/>
      <c r="K275" s="303"/>
      <c r="L275" s="303"/>
    </row>
    <row r="276" spans="1:12" ht="12.75">
      <c r="A276" s="311"/>
      <c r="B276" s="301" t="s">
        <v>403</v>
      </c>
      <c r="C276" s="304">
        <f>SUM(C261+C262+C267+C271+C272+C274+C275)</f>
        <v>54332</v>
      </c>
      <c r="D276" s="304">
        <f>SUM(D261+D262+D267+D271+D272+D274+D275)</f>
        <v>0</v>
      </c>
      <c r="E276" s="304">
        <f>SUM(E261+E262+E267+E271+E272+E274+E275)</f>
        <v>0</v>
      </c>
      <c r="F276" s="446">
        <f>SUM(C276:E276)</f>
        <v>54332</v>
      </c>
      <c r="G276" s="311"/>
      <c r="H276" s="301" t="s">
        <v>404</v>
      </c>
      <c r="I276" s="304">
        <f>SUM(I261:I263)</f>
        <v>34578</v>
      </c>
      <c r="J276" s="304">
        <f>SUM(J261:J263)</f>
        <v>0</v>
      </c>
      <c r="K276" s="304">
        <f>SUM(K261:K263)</f>
        <v>0</v>
      </c>
      <c r="L276" s="304">
        <f>SUM(L261:L263)</f>
        <v>34578</v>
      </c>
    </row>
    <row r="277" spans="1:12" ht="12.75">
      <c r="A277" s="311"/>
      <c r="B277" s="327" t="s">
        <v>405</v>
      </c>
      <c r="C277" s="328">
        <f>I278-C276</f>
        <v>489</v>
      </c>
      <c r="D277" s="328">
        <f>J278-D276</f>
        <v>0</v>
      </c>
      <c r="E277" s="328">
        <f>K278-E276</f>
        <v>0</v>
      </c>
      <c r="F277" s="328">
        <f>L278-F276</f>
        <v>489</v>
      </c>
      <c r="G277" s="311"/>
      <c r="H277" s="293" t="s">
        <v>406</v>
      </c>
      <c r="I277" s="328">
        <f>20528-285</f>
        <v>20243</v>
      </c>
      <c r="J277" s="328"/>
      <c r="K277" s="328"/>
      <c r="L277" s="303">
        <f>SUM(I277:K277)</f>
        <v>20243</v>
      </c>
    </row>
    <row r="278" spans="1:12" ht="12.75">
      <c r="A278" s="311"/>
      <c r="B278" s="317" t="s">
        <v>407</v>
      </c>
      <c r="C278" s="303"/>
      <c r="D278" s="303"/>
      <c r="E278" s="303"/>
      <c r="F278" s="303"/>
      <c r="G278" s="311"/>
      <c r="H278" s="301" t="s">
        <v>408</v>
      </c>
      <c r="I278" s="304">
        <f>SUM(I276:I277)</f>
        <v>54821</v>
      </c>
      <c r="J278" s="304">
        <f>SUM(J276:J277)</f>
        <v>0</v>
      </c>
      <c r="K278" s="304">
        <f>SUM(K276:K277)</f>
        <v>0</v>
      </c>
      <c r="L278" s="304">
        <f>SUM(L276:L277)</f>
        <v>54821</v>
      </c>
    </row>
    <row r="279" spans="1:12" ht="12.75">
      <c r="A279" s="317" t="s">
        <v>409</v>
      </c>
      <c r="B279" s="317" t="s">
        <v>410</v>
      </c>
      <c r="C279" s="303"/>
      <c r="D279" s="303"/>
      <c r="E279" s="303"/>
      <c r="F279" s="303"/>
      <c r="G279" s="311"/>
      <c r="H279" s="327" t="s">
        <v>411</v>
      </c>
      <c r="I279" s="303"/>
      <c r="J279" s="303"/>
      <c r="K279" s="303"/>
      <c r="L279" s="303"/>
    </row>
    <row r="280" spans="1:12" ht="12.75">
      <c r="A280" s="317" t="s">
        <v>412</v>
      </c>
      <c r="B280" s="317" t="s">
        <v>413</v>
      </c>
      <c r="C280" s="303"/>
      <c r="D280" s="303"/>
      <c r="E280" s="303"/>
      <c r="F280" s="303"/>
      <c r="G280" s="311"/>
      <c r="H280" s="317" t="s">
        <v>94</v>
      </c>
      <c r="I280" s="303"/>
      <c r="J280" s="303"/>
      <c r="K280" s="303"/>
      <c r="L280" s="303"/>
    </row>
    <row r="281" spans="1:12" ht="12.75">
      <c r="A281" s="317" t="s">
        <v>414</v>
      </c>
      <c r="B281" s="317" t="s">
        <v>415</v>
      </c>
      <c r="C281" s="303"/>
      <c r="D281" s="303"/>
      <c r="E281" s="303"/>
      <c r="F281" s="303"/>
      <c r="G281" s="317" t="s">
        <v>194</v>
      </c>
      <c r="H281" s="317" t="s">
        <v>416</v>
      </c>
      <c r="I281" s="303"/>
      <c r="J281" s="303"/>
      <c r="K281" s="303"/>
      <c r="L281" s="303"/>
    </row>
    <row r="282" spans="1:12" ht="12.75">
      <c r="A282" s="317" t="s">
        <v>417</v>
      </c>
      <c r="B282" s="317" t="s">
        <v>193</v>
      </c>
      <c r="C282" s="303"/>
      <c r="D282" s="303"/>
      <c r="E282" s="303"/>
      <c r="F282" s="303"/>
      <c r="G282" s="317" t="s">
        <v>195</v>
      </c>
      <c r="H282" s="317" t="s">
        <v>377</v>
      </c>
      <c r="I282" s="303"/>
      <c r="J282" s="303"/>
      <c r="K282" s="303"/>
      <c r="L282" s="303"/>
    </row>
    <row r="283" spans="1:12" ht="12.75">
      <c r="A283" s="317" t="s">
        <v>194</v>
      </c>
      <c r="B283" s="317" t="s">
        <v>418</v>
      </c>
      <c r="C283" s="303"/>
      <c r="D283" s="303"/>
      <c r="E283" s="303"/>
      <c r="F283" s="303"/>
      <c r="G283" s="311" t="s">
        <v>100</v>
      </c>
      <c r="H283" s="293" t="s">
        <v>96</v>
      </c>
      <c r="I283" s="303"/>
      <c r="J283" s="303"/>
      <c r="K283" s="303"/>
      <c r="L283" s="303"/>
    </row>
    <row r="284" spans="1:12" ht="12.75">
      <c r="A284" s="311" t="s">
        <v>100</v>
      </c>
      <c r="B284" s="330" t="s">
        <v>419</v>
      </c>
      <c r="C284" s="303"/>
      <c r="D284" s="303"/>
      <c r="E284" s="303"/>
      <c r="F284" s="303"/>
      <c r="G284" s="311" t="s">
        <v>101</v>
      </c>
      <c r="H284" s="293" t="s">
        <v>420</v>
      </c>
      <c r="I284" s="303"/>
      <c r="J284" s="303"/>
      <c r="K284" s="303"/>
      <c r="L284" s="303"/>
    </row>
    <row r="285" spans="1:12" ht="12.75">
      <c r="A285" s="311" t="s">
        <v>101</v>
      </c>
      <c r="B285" s="330" t="s">
        <v>421</v>
      </c>
      <c r="C285" s="303"/>
      <c r="D285" s="303"/>
      <c r="E285" s="303"/>
      <c r="F285" s="303"/>
      <c r="G285" s="317" t="s">
        <v>196</v>
      </c>
      <c r="H285" s="317" t="s">
        <v>422</v>
      </c>
      <c r="I285" s="303"/>
      <c r="J285" s="303"/>
      <c r="K285" s="303"/>
      <c r="L285" s="303"/>
    </row>
    <row r="286" spans="1:12" ht="12.75">
      <c r="A286" s="311" t="s">
        <v>102</v>
      </c>
      <c r="B286" s="330" t="s">
        <v>161</v>
      </c>
      <c r="C286" s="303"/>
      <c r="D286" s="303"/>
      <c r="E286" s="303"/>
      <c r="F286" s="303"/>
      <c r="G286" s="311" t="s">
        <v>100</v>
      </c>
      <c r="H286" s="330" t="s">
        <v>117</v>
      </c>
      <c r="I286" s="303"/>
      <c r="J286" s="303"/>
      <c r="K286" s="303"/>
      <c r="L286" s="303"/>
    </row>
    <row r="287" spans="1:12" ht="12.75">
      <c r="A287" s="317" t="s">
        <v>423</v>
      </c>
      <c r="B287" s="317" t="s">
        <v>424</v>
      </c>
      <c r="C287" s="303"/>
      <c r="D287" s="303"/>
      <c r="E287" s="303"/>
      <c r="F287" s="303"/>
      <c r="G287" s="311" t="s">
        <v>101</v>
      </c>
      <c r="H287" s="330" t="s">
        <v>97</v>
      </c>
      <c r="I287" s="303"/>
      <c r="J287" s="303"/>
      <c r="K287" s="303"/>
      <c r="L287" s="303"/>
    </row>
    <row r="288" spans="1:12" ht="12.75">
      <c r="A288" s="317" t="s">
        <v>425</v>
      </c>
      <c r="B288" s="317" t="s">
        <v>426</v>
      </c>
      <c r="C288" s="303"/>
      <c r="D288" s="303"/>
      <c r="E288" s="303"/>
      <c r="F288" s="303"/>
      <c r="G288" s="311" t="s">
        <v>102</v>
      </c>
      <c r="H288" s="293" t="s">
        <v>163</v>
      </c>
      <c r="I288" s="303"/>
      <c r="J288" s="303"/>
      <c r="K288" s="303"/>
      <c r="L288" s="303"/>
    </row>
    <row r="289" spans="1:12" ht="12.75">
      <c r="A289" s="317" t="s">
        <v>196</v>
      </c>
      <c r="B289" s="317" t="s">
        <v>427</v>
      </c>
      <c r="C289" s="303">
        <v>0</v>
      </c>
      <c r="D289" s="303">
        <v>0</v>
      </c>
      <c r="E289" s="303">
        <v>0</v>
      </c>
      <c r="F289" s="303"/>
      <c r="G289" s="317" t="s">
        <v>197</v>
      </c>
      <c r="H289" s="317" t="s">
        <v>428</v>
      </c>
      <c r="I289" s="303"/>
      <c r="J289" s="303"/>
      <c r="K289" s="303"/>
      <c r="L289" s="303"/>
    </row>
    <row r="290" spans="1:12" ht="12.75">
      <c r="A290" s="317" t="s">
        <v>197</v>
      </c>
      <c r="B290" s="317" t="s">
        <v>428</v>
      </c>
      <c r="C290" s="303">
        <v>0</v>
      </c>
      <c r="D290" s="303">
        <v>0</v>
      </c>
      <c r="E290" s="303">
        <v>0</v>
      </c>
      <c r="F290" s="303"/>
      <c r="G290" s="317" t="s">
        <v>198</v>
      </c>
      <c r="H290" s="317" t="s">
        <v>396</v>
      </c>
      <c r="I290" s="303"/>
      <c r="J290" s="303"/>
      <c r="K290" s="303"/>
      <c r="L290" s="303"/>
    </row>
    <row r="291" spans="1:12" ht="12.75">
      <c r="A291" s="317" t="s">
        <v>198</v>
      </c>
      <c r="B291" s="317" t="s">
        <v>402</v>
      </c>
      <c r="C291" s="303">
        <v>0</v>
      </c>
      <c r="D291" s="303">
        <v>0</v>
      </c>
      <c r="E291" s="303">
        <v>0</v>
      </c>
      <c r="F291" s="303"/>
      <c r="G291" s="311" t="s">
        <v>100</v>
      </c>
      <c r="H291" s="293" t="s">
        <v>398</v>
      </c>
      <c r="I291" s="303"/>
      <c r="J291" s="303"/>
      <c r="K291" s="303"/>
      <c r="L291" s="303"/>
    </row>
    <row r="292" spans="1:12" ht="12.75">
      <c r="A292" s="311"/>
      <c r="B292" s="301" t="s">
        <v>429</v>
      </c>
      <c r="C292" s="304">
        <f>SUM(C289:C291)</f>
        <v>0</v>
      </c>
      <c r="D292" s="304">
        <f>SUM(D289:D291)</f>
        <v>0</v>
      </c>
      <c r="E292" s="304">
        <f>SUM(E289:E291)</f>
        <v>0</v>
      </c>
      <c r="F292" s="304"/>
      <c r="G292" s="311" t="s">
        <v>441</v>
      </c>
      <c r="H292" s="301" t="s">
        <v>430</v>
      </c>
      <c r="I292" s="304">
        <f>SUM(I289:I291)</f>
        <v>0</v>
      </c>
      <c r="J292" s="304">
        <f>SUM(J289:J291)</f>
        <v>0</v>
      </c>
      <c r="K292" s="304">
        <f>SUM(K289:K291)</f>
        <v>0</v>
      </c>
      <c r="L292" s="304"/>
    </row>
    <row r="293" spans="1:12" ht="12.75">
      <c r="A293" s="311"/>
      <c r="B293" s="327" t="s">
        <v>433</v>
      </c>
      <c r="C293" s="328"/>
      <c r="D293" s="328">
        <f>J292-D292</f>
        <v>0</v>
      </c>
      <c r="E293" s="328"/>
      <c r="F293" s="447"/>
      <c r="G293" s="311" t="s">
        <v>442</v>
      </c>
      <c r="H293" s="293" t="s">
        <v>434</v>
      </c>
      <c r="I293" s="303">
        <f>C292-I292</f>
        <v>0</v>
      </c>
      <c r="J293" s="303"/>
      <c r="K293" s="303">
        <f>E292-K292</f>
        <v>0</v>
      </c>
      <c r="L293" s="303"/>
    </row>
    <row r="294" spans="1:12" ht="13.5">
      <c r="A294" s="311"/>
      <c r="B294" s="332" t="s">
        <v>435</v>
      </c>
      <c r="C294" s="333">
        <f>SUM(C293+C277)</f>
        <v>489</v>
      </c>
      <c r="D294" s="333">
        <f>SUM(D293+D277)</f>
        <v>0</v>
      </c>
      <c r="E294" s="333">
        <f>SUM(E293+E277)</f>
        <v>0</v>
      </c>
      <c r="F294" s="333">
        <f>SUM(F293+F277)</f>
        <v>489</v>
      </c>
      <c r="G294" s="311" t="s">
        <v>443</v>
      </c>
      <c r="H294" s="332" t="s">
        <v>436</v>
      </c>
      <c r="I294" s="320"/>
      <c r="J294" s="303"/>
      <c r="K294" s="320"/>
      <c r="L294" s="303"/>
    </row>
    <row r="295" spans="1:12" ht="12.75">
      <c r="A295" s="311"/>
      <c r="B295" s="301" t="s">
        <v>461</v>
      </c>
      <c r="C295" s="304">
        <f>SUM(C292+C276+C294)</f>
        <v>54821</v>
      </c>
      <c r="D295" s="304">
        <f>SUM(D292+D276+D294)</f>
        <v>0</v>
      </c>
      <c r="E295" s="304">
        <f>SUM(E292+E276+E294)</f>
        <v>0</v>
      </c>
      <c r="F295" s="304">
        <f>SUM(F292+F276+F294)</f>
        <v>54821</v>
      </c>
      <c r="G295" s="311" t="s">
        <v>445</v>
      </c>
      <c r="H295" s="301" t="s">
        <v>461</v>
      </c>
      <c r="I295" s="304">
        <f>SUM(I278,I292,I294)</f>
        <v>54821</v>
      </c>
      <c r="J295" s="304">
        <f>SUM(J278,J292,J294)</f>
        <v>0</v>
      </c>
      <c r="K295" s="304">
        <f>SUM(K278,K292,K294)</f>
        <v>0</v>
      </c>
      <c r="L295" s="304">
        <f>SUM(L278,L292,L294)</f>
        <v>54821</v>
      </c>
    </row>
    <row r="296" spans="1:12" ht="12.75">
      <c r="A296" s="564" t="s">
        <v>462</v>
      </c>
      <c r="B296" s="564"/>
      <c r="C296" s="564"/>
      <c r="D296" s="564"/>
      <c r="E296" s="564"/>
      <c r="F296" s="564"/>
      <c r="G296" s="564"/>
      <c r="H296" s="564"/>
      <c r="I296" s="564"/>
      <c r="J296" s="564"/>
      <c r="K296" s="564"/>
      <c r="L296" s="564"/>
    </row>
    <row r="297" spans="1:12" ht="19.5" customHeight="1">
      <c r="A297" s="564"/>
      <c r="B297" s="564"/>
      <c r="C297" s="564"/>
      <c r="D297" s="564"/>
      <c r="E297" s="564"/>
      <c r="F297" s="564"/>
      <c r="G297" s="564"/>
      <c r="H297" s="564"/>
      <c r="I297" s="564"/>
      <c r="J297" s="564"/>
      <c r="K297" s="564"/>
      <c r="L297" s="564"/>
    </row>
    <row r="298" spans="1:12" ht="15.75">
      <c r="A298" s="315" t="s">
        <v>447</v>
      </c>
      <c r="B298" s="58"/>
      <c r="C298" s="316"/>
      <c r="D298" s="316"/>
      <c r="E298" s="316"/>
      <c r="F298" s="316"/>
      <c r="G298" s="58"/>
      <c r="H298" s="58"/>
      <c r="I298" s="565" t="s">
        <v>364</v>
      </c>
      <c r="J298" s="566"/>
      <c r="K298" s="566"/>
      <c r="L298" s="566"/>
    </row>
    <row r="299" spans="1:12" ht="12.75" customHeight="1">
      <c r="A299" s="567" t="s">
        <v>365</v>
      </c>
      <c r="B299" s="569" t="s">
        <v>142</v>
      </c>
      <c r="C299" s="571" t="s">
        <v>155</v>
      </c>
      <c r="D299" s="571" t="s">
        <v>52</v>
      </c>
      <c r="E299" s="571" t="s">
        <v>53</v>
      </c>
      <c r="F299" s="571" t="s">
        <v>54</v>
      </c>
      <c r="G299" s="567" t="s">
        <v>365</v>
      </c>
      <c r="H299" s="569" t="s">
        <v>369</v>
      </c>
      <c r="I299" s="571" t="s">
        <v>155</v>
      </c>
      <c r="J299" s="571" t="s">
        <v>52</v>
      </c>
      <c r="K299" s="571" t="s">
        <v>53</v>
      </c>
      <c r="L299" s="571" t="s">
        <v>54</v>
      </c>
    </row>
    <row r="300" spans="1:12" ht="12.75">
      <c r="A300" s="567"/>
      <c r="B300" s="569"/>
      <c r="C300" s="572"/>
      <c r="D300" s="572"/>
      <c r="E300" s="572"/>
      <c r="F300" s="574"/>
      <c r="G300" s="567"/>
      <c r="H300" s="569"/>
      <c r="I300" s="572"/>
      <c r="J300" s="572"/>
      <c r="K300" s="572"/>
      <c r="L300" s="574"/>
    </row>
    <row r="301" spans="1:12" ht="12.75">
      <c r="A301" s="568"/>
      <c r="B301" s="570"/>
      <c r="C301" s="573"/>
      <c r="D301" s="573"/>
      <c r="E301" s="573"/>
      <c r="F301" s="575"/>
      <c r="G301" s="568"/>
      <c r="H301" s="570"/>
      <c r="I301" s="573"/>
      <c r="J301" s="573"/>
      <c r="K301" s="573"/>
      <c r="L301" s="575"/>
    </row>
    <row r="302" spans="1:12" ht="12.75">
      <c r="A302" s="317" t="s">
        <v>88</v>
      </c>
      <c r="B302" s="317" t="s">
        <v>185</v>
      </c>
      <c r="C302" s="318"/>
      <c r="D302" s="318"/>
      <c r="E302" s="318"/>
      <c r="F302" s="318"/>
      <c r="G302" s="317"/>
      <c r="H302" s="317" t="s">
        <v>91</v>
      </c>
      <c r="I302" s="318">
        <f>SUM(I303:I305,I306,I313,I314)</f>
        <v>34485</v>
      </c>
      <c r="J302" s="318">
        <f>SUM(J303:J305,J306,J313,J314)</f>
        <v>0</v>
      </c>
      <c r="K302" s="318">
        <f>SUM(K303:K305,K306,K313,K314)</f>
        <v>0</v>
      </c>
      <c r="L302" s="318">
        <f>SUM(I302:K302)</f>
        <v>34485</v>
      </c>
    </row>
    <row r="303" spans="1:12" ht="12.75">
      <c r="A303" s="311" t="s">
        <v>100</v>
      </c>
      <c r="B303" s="296" t="s">
        <v>370</v>
      </c>
      <c r="C303" s="320">
        <v>0</v>
      </c>
      <c r="D303" s="320"/>
      <c r="E303" s="320">
        <v>0</v>
      </c>
      <c r="F303" s="320"/>
      <c r="G303" s="317" t="s">
        <v>88</v>
      </c>
      <c r="H303" s="317" t="s">
        <v>92</v>
      </c>
      <c r="I303" s="303">
        <v>22927</v>
      </c>
      <c r="J303" s="303"/>
      <c r="K303" s="303"/>
      <c r="L303" s="318">
        <f aca="true" t="shared" si="36" ref="L303:L311">SUM(I303:K303)</f>
        <v>22927</v>
      </c>
    </row>
    <row r="304" spans="1:12" ht="12.75">
      <c r="A304" s="311" t="s">
        <v>101</v>
      </c>
      <c r="B304" s="296" t="s">
        <v>371</v>
      </c>
      <c r="C304" s="320">
        <v>0</v>
      </c>
      <c r="D304" s="320">
        <v>0</v>
      </c>
      <c r="E304" s="320">
        <v>0</v>
      </c>
      <c r="F304" s="320"/>
      <c r="G304" s="317" t="s">
        <v>372</v>
      </c>
      <c r="H304" s="317" t="s">
        <v>93</v>
      </c>
      <c r="I304" s="303">
        <v>7649</v>
      </c>
      <c r="J304" s="303"/>
      <c r="K304" s="303"/>
      <c r="L304" s="318">
        <f t="shared" si="36"/>
        <v>7649</v>
      </c>
    </row>
    <row r="305" spans="1:12" ht="12.75">
      <c r="A305" s="323" t="s">
        <v>373</v>
      </c>
      <c r="B305" s="293" t="s">
        <v>374</v>
      </c>
      <c r="C305" s="303">
        <v>0</v>
      </c>
      <c r="D305" s="303">
        <v>0</v>
      </c>
      <c r="E305" s="303">
        <v>0</v>
      </c>
      <c r="F305" s="303"/>
      <c r="G305" s="317" t="s">
        <v>194</v>
      </c>
      <c r="H305" s="317" t="s">
        <v>269</v>
      </c>
      <c r="I305" s="303">
        <v>2621</v>
      </c>
      <c r="J305" s="303"/>
      <c r="K305" s="303"/>
      <c r="L305" s="318">
        <f t="shared" si="36"/>
        <v>2621</v>
      </c>
    </row>
    <row r="306" spans="1:12" ht="12.75">
      <c r="A306" s="323" t="s">
        <v>375</v>
      </c>
      <c r="B306" s="293" t="s">
        <v>376</v>
      </c>
      <c r="C306" s="303">
        <v>0</v>
      </c>
      <c r="D306" s="303"/>
      <c r="E306" s="303">
        <v>0</v>
      </c>
      <c r="F306" s="303"/>
      <c r="G306" s="317" t="s">
        <v>195</v>
      </c>
      <c r="H306" s="317" t="s">
        <v>377</v>
      </c>
      <c r="I306" s="303">
        <f>SUM(I307:I311)</f>
        <v>1288</v>
      </c>
      <c r="J306" s="303"/>
      <c r="K306" s="303"/>
      <c r="L306" s="318">
        <f t="shared" si="36"/>
        <v>1288</v>
      </c>
    </row>
    <row r="307" spans="1:12" ht="12.75">
      <c r="A307" s="323" t="s">
        <v>378</v>
      </c>
      <c r="B307" s="293" t="s">
        <v>379</v>
      </c>
      <c r="C307" s="303"/>
      <c r="D307" s="303"/>
      <c r="E307" s="303"/>
      <c r="F307" s="303"/>
      <c r="G307" s="311" t="s">
        <v>100</v>
      </c>
      <c r="H307" s="293" t="s">
        <v>96</v>
      </c>
      <c r="I307" s="303">
        <v>1288</v>
      </c>
      <c r="J307" s="303"/>
      <c r="K307" s="303"/>
      <c r="L307" s="318">
        <f t="shared" si="36"/>
        <v>1288</v>
      </c>
    </row>
    <row r="308" spans="1:12" ht="12.75">
      <c r="A308" s="324" t="s">
        <v>192</v>
      </c>
      <c r="B308" s="317" t="s">
        <v>186</v>
      </c>
      <c r="C308" s="303"/>
      <c r="D308" s="303"/>
      <c r="E308" s="303"/>
      <c r="F308" s="303"/>
      <c r="G308" s="311" t="s">
        <v>101</v>
      </c>
      <c r="H308" s="293" t="s">
        <v>380</v>
      </c>
      <c r="I308" s="303"/>
      <c r="J308" s="303"/>
      <c r="K308" s="303"/>
      <c r="L308" s="318">
        <f t="shared" si="36"/>
        <v>0</v>
      </c>
    </row>
    <row r="309" spans="1:12" ht="12.75">
      <c r="A309" s="311" t="s">
        <v>100</v>
      </c>
      <c r="B309" s="296" t="s">
        <v>381</v>
      </c>
      <c r="C309" s="320">
        <f>SUM(C310:C312)</f>
        <v>20454</v>
      </c>
      <c r="D309" s="320">
        <f>SUM(D310:D312)</f>
        <v>0</v>
      </c>
      <c r="E309" s="320">
        <f>SUM(E310:E312)</f>
        <v>0</v>
      </c>
      <c r="F309" s="320">
        <f>SUM(F310:F312)</f>
        <v>20454</v>
      </c>
      <c r="G309" s="311" t="s">
        <v>102</v>
      </c>
      <c r="H309" s="293" t="s">
        <v>382</v>
      </c>
      <c r="I309" s="303">
        <v>0</v>
      </c>
      <c r="J309" s="303">
        <v>0</v>
      </c>
      <c r="K309" s="303">
        <v>0</v>
      </c>
      <c r="L309" s="318">
        <f t="shared" si="36"/>
        <v>0</v>
      </c>
    </row>
    <row r="310" spans="1:12" ht="12.75">
      <c r="A310" s="311" t="s">
        <v>383</v>
      </c>
      <c r="B310" s="293" t="s">
        <v>384</v>
      </c>
      <c r="C310" s="303">
        <v>20360</v>
      </c>
      <c r="D310" s="303"/>
      <c r="E310" s="303"/>
      <c r="F310" s="303">
        <f>SUM(C310:E310)</f>
        <v>20360</v>
      </c>
      <c r="G310" s="311" t="s">
        <v>103</v>
      </c>
      <c r="H310" s="293" t="s">
        <v>385</v>
      </c>
      <c r="I310" s="303">
        <v>0</v>
      </c>
      <c r="J310" s="303">
        <v>0</v>
      </c>
      <c r="K310" s="303">
        <v>0</v>
      </c>
      <c r="L310" s="318">
        <f t="shared" si="36"/>
        <v>0</v>
      </c>
    </row>
    <row r="311" spans="1:12" ht="12.75">
      <c r="A311" s="311" t="s">
        <v>386</v>
      </c>
      <c r="B311" s="293" t="s">
        <v>387</v>
      </c>
      <c r="C311" s="303"/>
      <c r="D311" s="303"/>
      <c r="E311" s="303"/>
      <c r="F311" s="303">
        <f aca="true" t="shared" si="37" ref="F311:F316">SUM(C311:E311)</f>
        <v>0</v>
      </c>
      <c r="G311" s="311" t="s">
        <v>104</v>
      </c>
      <c r="H311" s="293" t="s">
        <v>388</v>
      </c>
      <c r="I311" s="303">
        <v>0</v>
      </c>
      <c r="J311" s="303">
        <v>0</v>
      </c>
      <c r="K311" s="303">
        <v>0</v>
      </c>
      <c r="L311" s="318">
        <f t="shared" si="36"/>
        <v>0</v>
      </c>
    </row>
    <row r="312" spans="1:12" ht="12.75">
      <c r="A312" s="311" t="s">
        <v>389</v>
      </c>
      <c r="B312" s="293" t="s">
        <v>390</v>
      </c>
      <c r="C312" s="303">
        <v>94</v>
      </c>
      <c r="D312" s="303"/>
      <c r="E312" s="303"/>
      <c r="F312" s="303">
        <f t="shared" si="37"/>
        <v>94</v>
      </c>
      <c r="G312" s="311"/>
      <c r="H312" s="293"/>
      <c r="I312" s="303"/>
      <c r="J312" s="303"/>
      <c r="K312" s="303"/>
      <c r="L312" s="303"/>
    </row>
    <row r="313" spans="1:12" ht="12.75">
      <c r="A313" s="317" t="s">
        <v>391</v>
      </c>
      <c r="B313" s="317" t="s">
        <v>392</v>
      </c>
      <c r="C313" s="303">
        <v>11674</v>
      </c>
      <c r="D313" s="303"/>
      <c r="E313" s="303"/>
      <c r="F313" s="303">
        <f t="shared" si="37"/>
        <v>11674</v>
      </c>
      <c r="G313" s="317" t="s">
        <v>197</v>
      </c>
      <c r="H313" s="317" t="s">
        <v>393</v>
      </c>
      <c r="I313" s="303"/>
      <c r="J313" s="303"/>
      <c r="K313" s="303"/>
      <c r="L313" s="303"/>
    </row>
    <row r="314" spans="1:12" ht="12.75">
      <c r="A314" s="317" t="s">
        <v>394</v>
      </c>
      <c r="B314" s="317" t="s">
        <v>395</v>
      </c>
      <c r="C314" s="303"/>
      <c r="D314" s="303"/>
      <c r="E314" s="303"/>
      <c r="F314" s="303">
        <f t="shared" si="37"/>
        <v>0</v>
      </c>
      <c r="G314" s="317" t="s">
        <v>198</v>
      </c>
      <c r="H314" s="317" t="s">
        <v>396</v>
      </c>
      <c r="I314" s="303"/>
      <c r="J314" s="303"/>
      <c r="K314" s="303"/>
      <c r="L314" s="303"/>
    </row>
    <row r="315" spans="1:12" ht="12.75">
      <c r="A315" s="311"/>
      <c r="B315" s="293" t="s">
        <v>397</v>
      </c>
      <c r="C315" s="303"/>
      <c r="D315" s="303"/>
      <c r="E315" s="303"/>
      <c r="F315" s="303">
        <f t="shared" si="37"/>
        <v>0</v>
      </c>
      <c r="G315" s="311" t="s">
        <v>100</v>
      </c>
      <c r="H315" s="293" t="s">
        <v>398</v>
      </c>
      <c r="I315" s="303"/>
      <c r="J315" s="303"/>
      <c r="K315" s="303"/>
      <c r="L315" s="303"/>
    </row>
    <row r="316" spans="1:12" ht="12.75">
      <c r="A316" s="317" t="s">
        <v>399</v>
      </c>
      <c r="B316" s="317" t="s">
        <v>400</v>
      </c>
      <c r="C316" s="320">
        <v>0</v>
      </c>
      <c r="D316" s="320">
        <v>0</v>
      </c>
      <c r="E316" s="320">
        <v>0</v>
      </c>
      <c r="F316" s="303">
        <f t="shared" si="37"/>
        <v>0</v>
      </c>
      <c r="G316" s="311" t="s">
        <v>101</v>
      </c>
      <c r="H316" s="293" t="s">
        <v>401</v>
      </c>
      <c r="I316" s="303"/>
      <c r="J316" s="303"/>
      <c r="K316" s="303"/>
      <c r="L316" s="303"/>
    </row>
    <row r="317" spans="1:12" ht="12.75">
      <c r="A317" s="317" t="s">
        <v>198</v>
      </c>
      <c r="B317" s="317" t="s">
        <v>402</v>
      </c>
      <c r="C317" s="303"/>
      <c r="D317" s="303"/>
      <c r="E317" s="303"/>
      <c r="F317" s="303"/>
      <c r="G317" s="311"/>
      <c r="H317" s="293"/>
      <c r="I317" s="303"/>
      <c r="J317" s="303"/>
      <c r="K317" s="303"/>
      <c r="L317" s="303"/>
    </row>
    <row r="318" spans="1:12" ht="12.75">
      <c r="A318" s="311"/>
      <c r="B318" s="301" t="s">
        <v>403</v>
      </c>
      <c r="C318" s="304">
        <f>SUM(C303+C304+C309+C313+C314+C316+C317)</f>
        <v>32128</v>
      </c>
      <c r="D318" s="304">
        <f>SUM(D303+D304+D309+D313+D314+D316+D317)</f>
        <v>0</v>
      </c>
      <c r="E318" s="304">
        <f>SUM(E303+E304+E309+E313+E314+E316+E317)</f>
        <v>0</v>
      </c>
      <c r="F318" s="304">
        <f>SUM(F303+F304+F309+F313+F314+F316+F317)</f>
        <v>32128</v>
      </c>
      <c r="G318" s="311"/>
      <c r="H318" s="301" t="s">
        <v>404</v>
      </c>
      <c r="I318" s="304">
        <f>SUM(I303:I306)</f>
        <v>34485</v>
      </c>
      <c r="J318" s="304">
        <f>SUM(J303:J305)</f>
        <v>0</v>
      </c>
      <c r="K318" s="304">
        <f>SUM(K303:K306)</f>
        <v>0</v>
      </c>
      <c r="L318" s="304">
        <f>SUM(L303:L306)</f>
        <v>34485</v>
      </c>
    </row>
    <row r="319" spans="1:12" ht="12.75">
      <c r="A319" s="311"/>
      <c r="B319" s="327" t="s">
        <v>405</v>
      </c>
      <c r="C319" s="328">
        <f>I318-C318</f>
        <v>2357</v>
      </c>
      <c r="D319" s="328">
        <f>J318-D318</f>
        <v>0</v>
      </c>
      <c r="E319" s="328">
        <f>K318-E318</f>
        <v>0</v>
      </c>
      <c r="F319" s="328">
        <f>L318-F318</f>
        <v>2357</v>
      </c>
      <c r="G319" s="311"/>
      <c r="H319" s="293" t="s">
        <v>406</v>
      </c>
      <c r="I319" s="328"/>
      <c r="J319" s="328"/>
      <c r="K319" s="328"/>
      <c r="L319" s="303"/>
    </row>
    <row r="320" spans="1:12" ht="12.75">
      <c r="A320" s="311"/>
      <c r="B320" s="317" t="s">
        <v>407</v>
      </c>
      <c r="C320" s="303"/>
      <c r="D320" s="303"/>
      <c r="E320" s="303"/>
      <c r="F320" s="303"/>
      <c r="G320" s="311"/>
      <c r="H320" s="301" t="s">
        <v>408</v>
      </c>
      <c r="I320" s="304">
        <f>SUM(I318:I319)</f>
        <v>34485</v>
      </c>
      <c r="J320" s="304">
        <f>SUM(J318:J319)</f>
        <v>0</v>
      </c>
      <c r="K320" s="304">
        <f>SUM(K318:K319)</f>
        <v>0</v>
      </c>
      <c r="L320" s="304">
        <f>SUM(L318:L319)</f>
        <v>34485</v>
      </c>
    </row>
    <row r="321" spans="1:12" ht="12.75">
      <c r="A321" s="317" t="s">
        <v>409</v>
      </c>
      <c r="B321" s="317" t="s">
        <v>410</v>
      </c>
      <c r="C321" s="303"/>
      <c r="D321" s="303"/>
      <c r="E321" s="303"/>
      <c r="F321" s="303"/>
      <c r="G321" s="311"/>
      <c r="H321" s="327" t="s">
        <v>411</v>
      </c>
      <c r="I321" s="303"/>
      <c r="J321" s="303"/>
      <c r="K321" s="303"/>
      <c r="L321" s="303"/>
    </row>
    <row r="322" spans="1:12" ht="12.75">
      <c r="A322" s="317" t="s">
        <v>412</v>
      </c>
      <c r="B322" s="317" t="s">
        <v>413</v>
      </c>
      <c r="C322" s="303"/>
      <c r="D322" s="303"/>
      <c r="E322" s="303"/>
      <c r="F322" s="303"/>
      <c r="G322" s="311"/>
      <c r="H322" s="317" t="s">
        <v>94</v>
      </c>
      <c r="I322" s="303"/>
      <c r="J322" s="303"/>
      <c r="K322" s="303"/>
      <c r="L322" s="303"/>
    </row>
    <row r="323" spans="1:12" ht="12.75">
      <c r="A323" s="317" t="s">
        <v>414</v>
      </c>
      <c r="B323" s="317" t="s">
        <v>415</v>
      </c>
      <c r="C323" s="303"/>
      <c r="D323" s="303"/>
      <c r="E323" s="303"/>
      <c r="F323" s="303"/>
      <c r="G323" s="317" t="s">
        <v>194</v>
      </c>
      <c r="H323" s="317" t="s">
        <v>416</v>
      </c>
      <c r="I323" s="303"/>
      <c r="J323" s="303"/>
      <c r="K323" s="303"/>
      <c r="L323" s="303"/>
    </row>
    <row r="324" spans="1:12" ht="12.75">
      <c r="A324" s="317" t="s">
        <v>417</v>
      </c>
      <c r="B324" s="317" t="s">
        <v>193</v>
      </c>
      <c r="C324" s="303"/>
      <c r="D324" s="303"/>
      <c r="E324" s="303"/>
      <c r="F324" s="303"/>
      <c r="G324" s="317" t="s">
        <v>195</v>
      </c>
      <c r="H324" s="317" t="s">
        <v>377</v>
      </c>
      <c r="I324" s="303"/>
      <c r="J324" s="303"/>
      <c r="K324" s="303"/>
      <c r="L324" s="303"/>
    </row>
    <row r="325" spans="1:12" ht="12.75">
      <c r="A325" s="317" t="s">
        <v>194</v>
      </c>
      <c r="B325" s="317" t="s">
        <v>418</v>
      </c>
      <c r="C325" s="303"/>
      <c r="D325" s="303"/>
      <c r="E325" s="303"/>
      <c r="F325" s="303"/>
      <c r="G325" s="311" t="s">
        <v>100</v>
      </c>
      <c r="H325" s="293" t="s">
        <v>96</v>
      </c>
      <c r="I325" s="303"/>
      <c r="J325" s="303"/>
      <c r="K325" s="303"/>
      <c r="L325" s="303"/>
    </row>
    <row r="326" spans="1:12" ht="12.75">
      <c r="A326" s="311" t="s">
        <v>100</v>
      </c>
      <c r="B326" s="330" t="s">
        <v>419</v>
      </c>
      <c r="C326" s="303"/>
      <c r="D326" s="303"/>
      <c r="E326" s="303"/>
      <c r="F326" s="303"/>
      <c r="G326" s="311" t="s">
        <v>101</v>
      </c>
      <c r="H326" s="293" t="s">
        <v>420</v>
      </c>
      <c r="I326" s="303"/>
      <c r="J326" s="303"/>
      <c r="K326" s="303"/>
      <c r="L326" s="303"/>
    </row>
    <row r="327" spans="1:12" ht="12.75">
      <c r="A327" s="311" t="s">
        <v>101</v>
      </c>
      <c r="B327" s="330" t="s">
        <v>421</v>
      </c>
      <c r="C327" s="303"/>
      <c r="D327" s="303"/>
      <c r="E327" s="303"/>
      <c r="F327" s="303"/>
      <c r="G327" s="317" t="s">
        <v>196</v>
      </c>
      <c r="H327" s="317" t="s">
        <v>422</v>
      </c>
      <c r="I327" s="303"/>
      <c r="J327" s="303"/>
      <c r="K327" s="303"/>
      <c r="L327" s="303"/>
    </row>
    <row r="328" spans="1:12" ht="12.75">
      <c r="A328" s="311" t="s">
        <v>102</v>
      </c>
      <c r="B328" s="330" t="s">
        <v>161</v>
      </c>
      <c r="C328" s="303"/>
      <c r="D328" s="303"/>
      <c r="E328" s="303"/>
      <c r="F328" s="303"/>
      <c r="G328" s="311" t="s">
        <v>100</v>
      </c>
      <c r="H328" s="330" t="s">
        <v>117</v>
      </c>
      <c r="I328" s="303"/>
      <c r="J328" s="303"/>
      <c r="K328" s="303"/>
      <c r="L328" s="303"/>
    </row>
    <row r="329" spans="1:12" ht="12.75">
      <c r="A329" s="317" t="s">
        <v>423</v>
      </c>
      <c r="B329" s="317" t="s">
        <v>424</v>
      </c>
      <c r="C329" s="303"/>
      <c r="D329" s="303"/>
      <c r="E329" s="303"/>
      <c r="F329" s="303"/>
      <c r="G329" s="311" t="s">
        <v>101</v>
      </c>
      <c r="H329" s="330" t="s">
        <v>97</v>
      </c>
      <c r="I329" s="303"/>
      <c r="J329" s="303"/>
      <c r="K329" s="303"/>
      <c r="L329" s="303"/>
    </row>
    <row r="330" spans="1:12" ht="12.75">
      <c r="A330" s="317" t="s">
        <v>425</v>
      </c>
      <c r="B330" s="317" t="s">
        <v>426</v>
      </c>
      <c r="C330" s="303"/>
      <c r="D330" s="303"/>
      <c r="E330" s="303"/>
      <c r="F330" s="303"/>
      <c r="G330" s="311" t="s">
        <v>102</v>
      </c>
      <c r="H330" s="293" t="s">
        <v>163</v>
      </c>
      <c r="I330" s="303"/>
      <c r="J330" s="303"/>
      <c r="K330" s="303"/>
      <c r="L330" s="303"/>
    </row>
    <row r="331" spans="1:12" ht="12.75">
      <c r="A331" s="317" t="s">
        <v>196</v>
      </c>
      <c r="B331" s="317" t="s">
        <v>427</v>
      </c>
      <c r="C331" s="303">
        <v>0</v>
      </c>
      <c r="D331" s="303">
        <v>0</v>
      </c>
      <c r="E331" s="303">
        <v>0</v>
      </c>
      <c r="F331" s="303"/>
      <c r="G331" s="317" t="s">
        <v>197</v>
      </c>
      <c r="H331" s="317" t="s">
        <v>428</v>
      </c>
      <c r="I331" s="303"/>
      <c r="J331" s="303"/>
      <c r="K331" s="303"/>
      <c r="L331" s="303"/>
    </row>
    <row r="332" spans="1:12" ht="12.75">
      <c r="A332" s="317" t="s">
        <v>197</v>
      </c>
      <c r="B332" s="317" t="s">
        <v>428</v>
      </c>
      <c r="C332" s="303">
        <v>0</v>
      </c>
      <c r="D332" s="303">
        <v>0</v>
      </c>
      <c r="E332" s="303">
        <v>0</v>
      </c>
      <c r="F332" s="303"/>
      <c r="G332" s="317" t="s">
        <v>198</v>
      </c>
      <c r="H332" s="317" t="s">
        <v>396</v>
      </c>
      <c r="I332" s="303"/>
      <c r="J332" s="303"/>
      <c r="K332" s="303"/>
      <c r="L332" s="303"/>
    </row>
    <row r="333" spans="1:12" ht="12.75">
      <c r="A333" s="317" t="s">
        <v>198</v>
      </c>
      <c r="B333" s="317" t="s">
        <v>402</v>
      </c>
      <c r="C333" s="303">
        <v>0</v>
      </c>
      <c r="D333" s="303">
        <v>0</v>
      </c>
      <c r="E333" s="303">
        <v>0</v>
      </c>
      <c r="F333" s="303"/>
      <c r="G333" s="311" t="s">
        <v>100</v>
      </c>
      <c r="H333" s="293" t="s">
        <v>398</v>
      </c>
      <c r="I333" s="303"/>
      <c r="J333" s="303"/>
      <c r="K333" s="303"/>
      <c r="L333" s="303"/>
    </row>
    <row r="334" spans="1:12" ht="12.75">
      <c r="A334" s="311"/>
      <c r="B334" s="301" t="s">
        <v>429</v>
      </c>
      <c r="C334" s="304">
        <f>SUM(C331:C333)</f>
        <v>0</v>
      </c>
      <c r="D334" s="304">
        <f>SUM(D331:D333)</f>
        <v>0</v>
      </c>
      <c r="E334" s="304">
        <f>SUM(E331:E333)</f>
        <v>0</v>
      </c>
      <c r="F334" s="304">
        <f>SUM(F331:F333)</f>
        <v>0</v>
      </c>
      <c r="G334" s="311" t="s">
        <v>441</v>
      </c>
      <c r="H334" s="301" t="s">
        <v>430</v>
      </c>
      <c r="I334" s="304">
        <f>SUM(I331:I333)</f>
        <v>0</v>
      </c>
      <c r="J334" s="304">
        <f>SUM(J331:J333)</f>
        <v>0</v>
      </c>
      <c r="K334" s="304">
        <f>SUM(K331:K333)</f>
        <v>0</v>
      </c>
      <c r="L334" s="304"/>
    </row>
    <row r="335" spans="1:12" ht="12.75">
      <c r="A335" s="311"/>
      <c r="B335" s="327" t="s">
        <v>433</v>
      </c>
      <c r="C335" s="328"/>
      <c r="D335" s="328">
        <f>J334-D334</f>
        <v>0</v>
      </c>
      <c r="E335" s="328"/>
      <c r="F335" s="447"/>
      <c r="G335" s="311" t="s">
        <v>442</v>
      </c>
      <c r="H335" s="293" t="s">
        <v>434</v>
      </c>
      <c r="I335" s="303">
        <f>C334-I334</f>
        <v>0</v>
      </c>
      <c r="J335" s="303"/>
      <c r="K335" s="303">
        <f>E334-K334</f>
        <v>0</v>
      </c>
      <c r="L335" s="303"/>
    </row>
    <row r="336" spans="1:12" ht="13.5">
      <c r="A336" s="311"/>
      <c r="B336" s="332" t="s">
        <v>435</v>
      </c>
      <c r="C336" s="333">
        <f>SUM(C335+C319)</f>
        <v>2357</v>
      </c>
      <c r="D336" s="333">
        <f>SUM(D335+D319)</f>
        <v>0</v>
      </c>
      <c r="E336" s="333">
        <f>SUM(E335+E319)</f>
        <v>0</v>
      </c>
      <c r="F336" s="333">
        <f>SUM(F335+F319)</f>
        <v>2357</v>
      </c>
      <c r="G336" s="311" t="s">
        <v>443</v>
      </c>
      <c r="H336" s="332" t="s">
        <v>436</v>
      </c>
      <c r="I336" s="320">
        <f>SUM(I319,I335)</f>
        <v>0</v>
      </c>
      <c r="J336" s="303">
        <f>SUM(J319,J335)</f>
        <v>0</v>
      </c>
      <c r="K336" s="320">
        <f>SUM(K319,K335)</f>
        <v>0</v>
      </c>
      <c r="L336" s="303"/>
    </row>
    <row r="337" spans="1:12" ht="12.75">
      <c r="A337" s="311"/>
      <c r="B337" s="301" t="s">
        <v>464</v>
      </c>
      <c r="C337" s="304">
        <f>SUM(C334+C318+C336)</f>
        <v>34485</v>
      </c>
      <c r="D337" s="304">
        <f>SUM(D334+D318+D336)</f>
        <v>0</v>
      </c>
      <c r="E337" s="304">
        <f>SUM(E334+E318+E336)</f>
        <v>0</v>
      </c>
      <c r="F337" s="304">
        <f>SUM(F334+F318+F336)</f>
        <v>34485</v>
      </c>
      <c r="G337" s="311" t="s">
        <v>445</v>
      </c>
      <c r="H337" s="301" t="s">
        <v>464</v>
      </c>
      <c r="I337" s="304">
        <f>SUM(I320,I334,I336)</f>
        <v>34485</v>
      </c>
      <c r="J337" s="304">
        <f>SUM(J320,J334,J336)</f>
        <v>0</v>
      </c>
      <c r="K337" s="304">
        <f>SUM(K320,K334,K336)</f>
        <v>0</v>
      </c>
      <c r="L337" s="304">
        <f>SUM(L320,L334,L336)</f>
        <v>34485</v>
      </c>
    </row>
    <row r="338" spans="1:12" ht="12.75">
      <c r="A338" s="564" t="s">
        <v>465</v>
      </c>
      <c r="B338" s="564"/>
      <c r="C338" s="564"/>
      <c r="D338" s="564"/>
      <c r="E338" s="564"/>
      <c r="F338" s="564"/>
      <c r="G338" s="564"/>
      <c r="H338" s="564"/>
      <c r="I338" s="564"/>
      <c r="J338" s="564"/>
      <c r="K338" s="564"/>
      <c r="L338" s="564"/>
    </row>
    <row r="339" spans="1:12" ht="12.75">
      <c r="A339" s="564"/>
      <c r="B339" s="564"/>
      <c r="C339" s="564"/>
      <c r="D339" s="564"/>
      <c r="E339" s="564"/>
      <c r="F339" s="564"/>
      <c r="G339" s="564"/>
      <c r="H339" s="564"/>
      <c r="I339" s="564"/>
      <c r="J339" s="564"/>
      <c r="K339" s="564"/>
      <c r="L339" s="564"/>
    </row>
    <row r="340" spans="1:12" ht="15.75">
      <c r="A340" s="315" t="s">
        <v>447</v>
      </c>
      <c r="B340" s="58"/>
      <c r="C340" s="316"/>
      <c r="D340" s="316"/>
      <c r="E340" s="316"/>
      <c r="F340" s="316"/>
      <c r="G340" s="58"/>
      <c r="H340" s="58"/>
      <c r="I340" s="565" t="s">
        <v>364</v>
      </c>
      <c r="J340" s="566"/>
      <c r="K340" s="566"/>
      <c r="L340" s="566"/>
    </row>
    <row r="341" spans="1:12" ht="12.75" customHeight="1">
      <c r="A341" s="567" t="s">
        <v>365</v>
      </c>
      <c r="B341" s="569" t="s">
        <v>142</v>
      </c>
      <c r="C341" s="571" t="s">
        <v>155</v>
      </c>
      <c r="D341" s="571" t="s">
        <v>52</v>
      </c>
      <c r="E341" s="571" t="s">
        <v>53</v>
      </c>
      <c r="F341" s="571" t="s">
        <v>54</v>
      </c>
      <c r="G341" s="567" t="s">
        <v>365</v>
      </c>
      <c r="H341" s="569" t="s">
        <v>369</v>
      </c>
      <c r="I341" s="571" t="s">
        <v>155</v>
      </c>
      <c r="J341" s="571" t="s">
        <v>52</v>
      </c>
      <c r="K341" s="571" t="s">
        <v>53</v>
      </c>
      <c r="L341" s="571" t="s">
        <v>54</v>
      </c>
    </row>
    <row r="342" spans="1:12" ht="12.75">
      <c r="A342" s="567"/>
      <c r="B342" s="569"/>
      <c r="C342" s="572"/>
      <c r="D342" s="572"/>
      <c r="E342" s="572"/>
      <c r="F342" s="574"/>
      <c r="G342" s="567"/>
      <c r="H342" s="569"/>
      <c r="I342" s="572"/>
      <c r="J342" s="572"/>
      <c r="K342" s="572"/>
      <c r="L342" s="574"/>
    </row>
    <row r="343" spans="1:12" ht="12.75">
      <c r="A343" s="568"/>
      <c r="B343" s="570"/>
      <c r="C343" s="573"/>
      <c r="D343" s="573"/>
      <c r="E343" s="573"/>
      <c r="F343" s="575"/>
      <c r="G343" s="568"/>
      <c r="H343" s="570"/>
      <c r="I343" s="573"/>
      <c r="J343" s="573"/>
      <c r="K343" s="573"/>
      <c r="L343" s="575"/>
    </row>
    <row r="344" spans="1:12" ht="12.75">
      <c r="A344" s="317" t="s">
        <v>88</v>
      </c>
      <c r="B344" s="317" t="s">
        <v>185</v>
      </c>
      <c r="C344" s="318"/>
      <c r="D344" s="318"/>
      <c r="E344" s="318"/>
      <c r="F344" s="318"/>
      <c r="G344" s="317"/>
      <c r="H344" s="317" t="s">
        <v>91</v>
      </c>
      <c r="I344" s="318">
        <f>SUM(I345:I347,I348,I355,I356)</f>
        <v>34523</v>
      </c>
      <c r="J344" s="318">
        <f>SUM(J345:J347,J348,J355,J356)</f>
        <v>0</v>
      </c>
      <c r="K344" s="318">
        <f>SUM(K345:K347,K348,K355,K356)</f>
        <v>0</v>
      </c>
      <c r="L344" s="318">
        <f>SUM(I344:K344)</f>
        <v>34523</v>
      </c>
    </row>
    <row r="345" spans="1:12" ht="12.75">
      <c r="A345" s="311" t="s">
        <v>100</v>
      </c>
      <c r="B345" s="296" t="s">
        <v>370</v>
      </c>
      <c r="C345" s="320">
        <v>980</v>
      </c>
      <c r="D345" s="320"/>
      <c r="E345" s="320">
        <v>-880</v>
      </c>
      <c r="F345" s="320">
        <f>SUM(C345:E345)</f>
        <v>100</v>
      </c>
      <c r="G345" s="317" t="s">
        <v>88</v>
      </c>
      <c r="H345" s="317" t="s">
        <v>92</v>
      </c>
      <c r="I345" s="303">
        <v>8753</v>
      </c>
      <c r="J345" s="303"/>
      <c r="K345" s="303"/>
      <c r="L345" s="318">
        <f aca="true" t="shared" si="38" ref="L345:L353">SUM(I345:K345)</f>
        <v>8753</v>
      </c>
    </row>
    <row r="346" spans="1:12" ht="12.75">
      <c r="A346" s="311" t="s">
        <v>101</v>
      </c>
      <c r="B346" s="296" t="s">
        <v>371</v>
      </c>
      <c r="C346" s="320">
        <v>0</v>
      </c>
      <c r="D346" s="320">
        <v>0</v>
      </c>
      <c r="E346" s="320">
        <v>0</v>
      </c>
      <c r="F346" s="320">
        <f aca="true" t="shared" si="39" ref="F346:F352">SUM(C346:E346)</f>
        <v>0</v>
      </c>
      <c r="G346" s="317" t="s">
        <v>372</v>
      </c>
      <c r="H346" s="317" t="s">
        <v>93</v>
      </c>
      <c r="I346" s="303">
        <v>2891</v>
      </c>
      <c r="J346" s="303"/>
      <c r="K346" s="303"/>
      <c r="L346" s="318">
        <f t="shared" si="38"/>
        <v>2891</v>
      </c>
    </row>
    <row r="347" spans="1:12" ht="12.75">
      <c r="A347" s="323" t="s">
        <v>373</v>
      </c>
      <c r="B347" s="293" t="s">
        <v>374</v>
      </c>
      <c r="C347" s="303">
        <v>0</v>
      </c>
      <c r="D347" s="303">
        <v>0</v>
      </c>
      <c r="E347" s="303">
        <v>0</v>
      </c>
      <c r="F347" s="320">
        <f t="shared" si="39"/>
        <v>0</v>
      </c>
      <c r="G347" s="317" t="s">
        <v>194</v>
      </c>
      <c r="H347" s="317" t="s">
        <v>269</v>
      </c>
      <c r="I347" s="303">
        <v>22879</v>
      </c>
      <c r="J347" s="303"/>
      <c r="K347" s="303"/>
      <c r="L347" s="318">
        <f t="shared" si="38"/>
        <v>22879</v>
      </c>
    </row>
    <row r="348" spans="1:12" ht="12.75">
      <c r="A348" s="323" t="s">
        <v>375</v>
      </c>
      <c r="B348" s="293" t="s">
        <v>376</v>
      </c>
      <c r="C348" s="303"/>
      <c r="D348" s="303"/>
      <c r="E348" s="303"/>
      <c r="F348" s="320">
        <f t="shared" si="39"/>
        <v>0</v>
      </c>
      <c r="G348" s="317" t="s">
        <v>195</v>
      </c>
      <c r="H348" s="317" t="s">
        <v>377</v>
      </c>
      <c r="I348" s="303"/>
      <c r="J348" s="303"/>
      <c r="K348" s="303"/>
      <c r="L348" s="318">
        <f t="shared" si="38"/>
        <v>0</v>
      </c>
    </row>
    <row r="349" spans="1:12" ht="12.75">
      <c r="A349" s="323" t="s">
        <v>378</v>
      </c>
      <c r="B349" s="293" t="s">
        <v>379</v>
      </c>
      <c r="C349" s="303"/>
      <c r="D349" s="303"/>
      <c r="E349" s="303"/>
      <c r="F349" s="320">
        <f t="shared" si="39"/>
        <v>0</v>
      </c>
      <c r="G349" s="311" t="s">
        <v>100</v>
      </c>
      <c r="H349" s="293" t="s">
        <v>96</v>
      </c>
      <c r="I349" s="303"/>
      <c r="J349" s="303"/>
      <c r="K349" s="303"/>
      <c r="L349" s="318">
        <f t="shared" si="38"/>
        <v>0</v>
      </c>
    </row>
    <row r="350" spans="1:12" ht="12.75">
      <c r="A350" s="324" t="s">
        <v>192</v>
      </c>
      <c r="B350" s="317" t="s">
        <v>186</v>
      </c>
      <c r="C350" s="303"/>
      <c r="D350" s="303"/>
      <c r="E350" s="303"/>
      <c r="F350" s="320">
        <f t="shared" si="39"/>
        <v>0</v>
      </c>
      <c r="G350" s="311" t="s">
        <v>101</v>
      </c>
      <c r="H350" s="293" t="s">
        <v>380</v>
      </c>
      <c r="I350" s="303"/>
      <c r="J350" s="303"/>
      <c r="K350" s="303"/>
      <c r="L350" s="318">
        <f t="shared" si="38"/>
        <v>0</v>
      </c>
    </row>
    <row r="351" spans="1:12" ht="12.75">
      <c r="A351" s="311" t="s">
        <v>100</v>
      </c>
      <c r="B351" s="296" t="s">
        <v>381</v>
      </c>
      <c r="C351" s="320">
        <f>SUM(C352:C354)</f>
        <v>5923</v>
      </c>
      <c r="D351" s="320">
        <f>SUM(D352:D354)</f>
        <v>0</v>
      </c>
      <c r="E351" s="320">
        <f>SUM(E352:E354)</f>
        <v>0</v>
      </c>
      <c r="F351" s="320">
        <f t="shared" si="39"/>
        <v>5923</v>
      </c>
      <c r="G351" s="311" t="s">
        <v>102</v>
      </c>
      <c r="H351" s="293" t="s">
        <v>382</v>
      </c>
      <c r="I351" s="303">
        <v>0</v>
      </c>
      <c r="J351" s="303">
        <v>0</v>
      </c>
      <c r="K351" s="303">
        <v>0</v>
      </c>
      <c r="L351" s="318">
        <f t="shared" si="38"/>
        <v>0</v>
      </c>
    </row>
    <row r="352" spans="1:12" ht="12.75">
      <c r="A352" s="311" t="s">
        <v>383</v>
      </c>
      <c r="B352" s="293" t="s">
        <v>384</v>
      </c>
      <c r="C352" s="303">
        <v>5923</v>
      </c>
      <c r="D352" s="303"/>
      <c r="E352" s="303"/>
      <c r="F352" s="320">
        <f t="shared" si="39"/>
        <v>5923</v>
      </c>
      <c r="G352" s="311" t="s">
        <v>103</v>
      </c>
      <c r="H352" s="293" t="s">
        <v>385</v>
      </c>
      <c r="I352" s="303">
        <v>0</v>
      </c>
      <c r="J352" s="303">
        <v>0</v>
      </c>
      <c r="K352" s="303">
        <v>0</v>
      </c>
      <c r="L352" s="318">
        <f t="shared" si="38"/>
        <v>0</v>
      </c>
    </row>
    <row r="353" spans="1:12" ht="12.75">
      <c r="A353" s="311" t="s">
        <v>386</v>
      </c>
      <c r="B353" s="293" t="s">
        <v>387</v>
      </c>
      <c r="C353" s="303">
        <v>0</v>
      </c>
      <c r="D353" s="303"/>
      <c r="E353" s="303"/>
      <c r="F353" s="303"/>
      <c r="G353" s="311" t="s">
        <v>104</v>
      </c>
      <c r="H353" s="293" t="s">
        <v>388</v>
      </c>
      <c r="I353" s="303">
        <v>0</v>
      </c>
      <c r="J353" s="303">
        <v>0</v>
      </c>
      <c r="K353" s="303">
        <v>0</v>
      </c>
      <c r="L353" s="318">
        <f t="shared" si="38"/>
        <v>0</v>
      </c>
    </row>
    <row r="354" spans="1:12" ht="12.75">
      <c r="A354" s="311" t="s">
        <v>389</v>
      </c>
      <c r="B354" s="293" t="s">
        <v>390</v>
      </c>
      <c r="C354" s="303">
        <v>0</v>
      </c>
      <c r="D354" s="303"/>
      <c r="E354" s="303"/>
      <c r="F354" s="303"/>
      <c r="G354" s="311"/>
      <c r="H354" s="293"/>
      <c r="I354" s="303"/>
      <c r="J354" s="303"/>
      <c r="K354" s="303"/>
      <c r="L354" s="303"/>
    </row>
    <row r="355" spans="1:12" ht="12.75">
      <c r="A355" s="317" t="s">
        <v>391</v>
      </c>
      <c r="B355" s="317" t="s">
        <v>392</v>
      </c>
      <c r="C355" s="303"/>
      <c r="D355" s="303"/>
      <c r="E355" s="303"/>
      <c r="F355" s="303"/>
      <c r="G355" s="317" t="s">
        <v>197</v>
      </c>
      <c r="H355" s="317" t="s">
        <v>393</v>
      </c>
      <c r="I355" s="303"/>
      <c r="J355" s="303"/>
      <c r="K355" s="303"/>
      <c r="L355" s="303"/>
    </row>
    <row r="356" spans="1:12" ht="12.75">
      <c r="A356" s="317" t="s">
        <v>394</v>
      </c>
      <c r="B356" s="317" t="s">
        <v>395</v>
      </c>
      <c r="C356" s="303"/>
      <c r="D356" s="303"/>
      <c r="E356" s="303"/>
      <c r="F356" s="303"/>
      <c r="G356" s="317" t="s">
        <v>198</v>
      </c>
      <c r="H356" s="317" t="s">
        <v>396</v>
      </c>
      <c r="I356" s="303"/>
      <c r="J356" s="303"/>
      <c r="K356" s="303"/>
      <c r="L356" s="303"/>
    </row>
    <row r="357" spans="1:12" ht="12.75">
      <c r="A357" s="311"/>
      <c r="B357" s="293" t="s">
        <v>397</v>
      </c>
      <c r="C357" s="303"/>
      <c r="D357" s="303"/>
      <c r="E357" s="303"/>
      <c r="F357" s="303"/>
      <c r="G357" s="311" t="s">
        <v>100</v>
      </c>
      <c r="H357" s="293" t="s">
        <v>398</v>
      </c>
      <c r="I357" s="303"/>
      <c r="J357" s="303"/>
      <c r="K357" s="303"/>
      <c r="L357" s="303"/>
    </row>
    <row r="358" spans="1:12" ht="12.75">
      <c r="A358" s="317" t="s">
        <v>399</v>
      </c>
      <c r="B358" s="317" t="s">
        <v>400</v>
      </c>
      <c r="C358" s="320">
        <v>0</v>
      </c>
      <c r="D358" s="320">
        <v>0</v>
      </c>
      <c r="E358" s="320">
        <v>0</v>
      </c>
      <c r="F358" s="320"/>
      <c r="G358" s="311" t="s">
        <v>101</v>
      </c>
      <c r="H358" s="293" t="s">
        <v>401</v>
      </c>
      <c r="I358" s="303"/>
      <c r="J358" s="303"/>
      <c r="K358" s="303"/>
      <c r="L358" s="303"/>
    </row>
    <row r="359" spans="1:12" ht="12.75">
      <c r="A359" s="317" t="s">
        <v>198</v>
      </c>
      <c r="B359" s="317" t="s">
        <v>402</v>
      </c>
      <c r="C359" s="303"/>
      <c r="D359" s="303"/>
      <c r="E359" s="303"/>
      <c r="F359" s="303"/>
      <c r="G359" s="311"/>
      <c r="H359" s="293"/>
      <c r="I359" s="303"/>
      <c r="J359" s="303"/>
      <c r="K359" s="303"/>
      <c r="L359" s="303"/>
    </row>
    <row r="360" spans="1:12" ht="12.75">
      <c r="A360" s="311"/>
      <c r="B360" s="301" t="s">
        <v>403</v>
      </c>
      <c r="C360" s="304">
        <f>SUM(C345+C346+C351+C355+C356+C358+C359)</f>
        <v>6903</v>
      </c>
      <c r="D360" s="304">
        <f>SUM(D345+D346+D351+D355+D356+D358+D359)</f>
        <v>0</v>
      </c>
      <c r="E360" s="304">
        <f>SUM(E345+E346+E351+E355+E356+E358+E359)</f>
        <v>-880</v>
      </c>
      <c r="F360" s="304">
        <f>SUM(F345+F346+F351+F355+F356+F358+F359)</f>
        <v>6023</v>
      </c>
      <c r="G360" s="311"/>
      <c r="H360" s="301" t="s">
        <v>404</v>
      </c>
      <c r="I360" s="304">
        <f>SUM(I345:I347)</f>
        <v>34523</v>
      </c>
      <c r="J360" s="304">
        <f>SUM(J345:J347)</f>
        <v>0</v>
      </c>
      <c r="K360" s="304">
        <f>SUM(K345:K347)</f>
        <v>0</v>
      </c>
      <c r="L360" s="304">
        <f>SUM(I360:K360)</f>
        <v>34523</v>
      </c>
    </row>
    <row r="361" spans="1:12" ht="12.75">
      <c r="A361" s="311"/>
      <c r="B361" s="327" t="s">
        <v>405</v>
      </c>
      <c r="C361" s="328">
        <f>I362-C360</f>
        <v>27620</v>
      </c>
      <c r="D361" s="328">
        <f>J362-D360</f>
        <v>0</v>
      </c>
      <c r="E361" s="328">
        <f>K362-E360</f>
        <v>880</v>
      </c>
      <c r="F361" s="328">
        <f>L362-F360</f>
        <v>28500</v>
      </c>
      <c r="G361" s="311"/>
      <c r="H361" s="293" t="s">
        <v>406</v>
      </c>
      <c r="I361" s="328"/>
      <c r="J361" s="328"/>
      <c r="K361" s="328"/>
      <c r="L361" s="303"/>
    </row>
    <row r="362" spans="1:12" ht="12.75">
      <c r="A362" s="311"/>
      <c r="B362" s="317" t="s">
        <v>407</v>
      </c>
      <c r="C362" s="303"/>
      <c r="D362" s="303"/>
      <c r="E362" s="303"/>
      <c r="F362" s="303"/>
      <c r="G362" s="311"/>
      <c r="H362" s="301" t="s">
        <v>408</v>
      </c>
      <c r="I362" s="304">
        <f>SUM(I360:I361)</f>
        <v>34523</v>
      </c>
      <c r="J362" s="304">
        <f>SUM(J360:J361)</f>
        <v>0</v>
      </c>
      <c r="K362" s="304">
        <f>SUM(K360:K361)</f>
        <v>0</v>
      </c>
      <c r="L362" s="304">
        <f>SUM(I362:K362)</f>
        <v>34523</v>
      </c>
    </row>
    <row r="363" spans="1:12" ht="12.75">
      <c r="A363" s="317" t="s">
        <v>409</v>
      </c>
      <c r="B363" s="317" t="s">
        <v>410</v>
      </c>
      <c r="C363" s="303"/>
      <c r="D363" s="303"/>
      <c r="E363" s="303"/>
      <c r="F363" s="303"/>
      <c r="G363" s="311"/>
      <c r="H363" s="327" t="s">
        <v>411</v>
      </c>
      <c r="I363" s="303"/>
      <c r="J363" s="303"/>
      <c r="K363" s="303"/>
      <c r="L363" s="303"/>
    </row>
    <row r="364" spans="1:12" ht="12.75">
      <c r="A364" s="317" t="s">
        <v>412</v>
      </c>
      <c r="B364" s="317" t="s">
        <v>413</v>
      </c>
      <c r="C364" s="303"/>
      <c r="D364" s="303"/>
      <c r="E364" s="303"/>
      <c r="F364" s="303"/>
      <c r="G364" s="311"/>
      <c r="H364" s="317" t="s">
        <v>94</v>
      </c>
      <c r="I364" s="303"/>
      <c r="J364" s="303"/>
      <c r="K364" s="303"/>
      <c r="L364" s="303"/>
    </row>
    <row r="365" spans="1:12" ht="12.75">
      <c r="A365" s="317" t="s">
        <v>414</v>
      </c>
      <c r="B365" s="317" t="s">
        <v>415</v>
      </c>
      <c r="C365" s="303"/>
      <c r="D365" s="303"/>
      <c r="E365" s="303"/>
      <c r="F365" s="303"/>
      <c r="G365" s="317" t="s">
        <v>194</v>
      </c>
      <c r="H365" s="317" t="s">
        <v>416</v>
      </c>
      <c r="I365" s="303"/>
      <c r="J365" s="303"/>
      <c r="K365" s="303"/>
      <c r="L365" s="303"/>
    </row>
    <row r="366" spans="1:12" ht="12.75">
      <c r="A366" s="317" t="s">
        <v>417</v>
      </c>
      <c r="B366" s="317" t="s">
        <v>193</v>
      </c>
      <c r="C366" s="303"/>
      <c r="D366" s="303"/>
      <c r="E366" s="303"/>
      <c r="F366" s="303"/>
      <c r="G366" s="317" t="s">
        <v>195</v>
      </c>
      <c r="H366" s="317" t="s">
        <v>377</v>
      </c>
      <c r="I366" s="303"/>
      <c r="J366" s="303"/>
      <c r="K366" s="303"/>
      <c r="L366" s="303"/>
    </row>
    <row r="367" spans="1:12" ht="12.75">
      <c r="A367" s="317" t="s">
        <v>194</v>
      </c>
      <c r="B367" s="317" t="s">
        <v>418</v>
      </c>
      <c r="C367" s="303"/>
      <c r="D367" s="303"/>
      <c r="E367" s="303">
        <f>SUM(E368:E370)</f>
        <v>880</v>
      </c>
      <c r="F367" s="303">
        <f>SUM(F368:F370)</f>
        <v>880</v>
      </c>
      <c r="G367" s="311" t="s">
        <v>100</v>
      </c>
      <c r="H367" s="293" t="s">
        <v>96</v>
      </c>
      <c r="I367" s="303"/>
      <c r="J367" s="303"/>
      <c r="K367" s="303"/>
      <c r="L367" s="303"/>
    </row>
    <row r="368" spans="1:12" ht="12.75">
      <c r="A368" s="311" t="s">
        <v>100</v>
      </c>
      <c r="B368" s="330" t="s">
        <v>419</v>
      </c>
      <c r="C368" s="303"/>
      <c r="D368" s="303"/>
      <c r="E368" s="303"/>
      <c r="F368" s="303"/>
      <c r="G368" s="311" t="s">
        <v>101</v>
      </c>
      <c r="H368" s="293" t="s">
        <v>420</v>
      </c>
      <c r="I368" s="303"/>
      <c r="J368" s="303"/>
      <c r="K368" s="303"/>
      <c r="L368" s="303"/>
    </row>
    <row r="369" spans="1:12" ht="12.75">
      <c r="A369" s="311" t="s">
        <v>101</v>
      </c>
      <c r="B369" s="330" t="s">
        <v>421</v>
      </c>
      <c r="C369" s="303"/>
      <c r="D369" s="303"/>
      <c r="E369" s="303">
        <v>880</v>
      </c>
      <c r="F369" s="303">
        <f>SUM(E369)</f>
        <v>880</v>
      </c>
      <c r="G369" s="317" t="s">
        <v>196</v>
      </c>
      <c r="H369" s="317" t="s">
        <v>422</v>
      </c>
      <c r="I369" s="303"/>
      <c r="J369" s="303"/>
      <c r="K369" s="303"/>
      <c r="L369" s="303"/>
    </row>
    <row r="370" spans="1:12" ht="12.75">
      <c r="A370" s="311" t="s">
        <v>102</v>
      </c>
      <c r="B370" s="330" t="s">
        <v>161</v>
      </c>
      <c r="C370" s="303"/>
      <c r="D370" s="303"/>
      <c r="E370" s="303"/>
      <c r="F370" s="303"/>
      <c r="G370" s="311" t="s">
        <v>100</v>
      </c>
      <c r="H370" s="330" t="s">
        <v>117</v>
      </c>
      <c r="I370" s="303"/>
      <c r="J370" s="303"/>
      <c r="K370" s="303"/>
      <c r="L370" s="303"/>
    </row>
    <row r="371" spans="1:12" ht="12.75">
      <c r="A371" s="317" t="s">
        <v>423</v>
      </c>
      <c r="B371" s="317" t="s">
        <v>424</v>
      </c>
      <c r="C371" s="303"/>
      <c r="D371" s="303"/>
      <c r="E371" s="303"/>
      <c r="F371" s="303"/>
      <c r="G371" s="311" t="s">
        <v>101</v>
      </c>
      <c r="H371" s="330" t="s">
        <v>97</v>
      </c>
      <c r="I371" s="303"/>
      <c r="J371" s="303"/>
      <c r="K371" s="303"/>
      <c r="L371" s="303"/>
    </row>
    <row r="372" spans="1:12" ht="12.75">
      <c r="A372" s="317" t="s">
        <v>425</v>
      </c>
      <c r="B372" s="317" t="s">
        <v>426</v>
      </c>
      <c r="C372" s="303"/>
      <c r="D372" s="303"/>
      <c r="E372" s="303"/>
      <c r="F372" s="303"/>
      <c r="G372" s="311" t="s">
        <v>102</v>
      </c>
      <c r="H372" s="293" t="s">
        <v>163</v>
      </c>
      <c r="I372" s="303"/>
      <c r="J372" s="303"/>
      <c r="K372" s="303"/>
      <c r="L372" s="303"/>
    </row>
    <row r="373" spans="1:12" ht="12.75">
      <c r="A373" s="317" t="s">
        <v>196</v>
      </c>
      <c r="B373" s="317" t="s">
        <v>427</v>
      </c>
      <c r="C373" s="303">
        <v>0</v>
      </c>
      <c r="D373" s="303">
        <v>0</v>
      </c>
      <c r="E373" s="303">
        <v>0</v>
      </c>
      <c r="F373" s="303"/>
      <c r="G373" s="317" t="s">
        <v>197</v>
      </c>
      <c r="H373" s="317" t="s">
        <v>428</v>
      </c>
      <c r="I373" s="303"/>
      <c r="J373" s="303"/>
      <c r="K373" s="303"/>
      <c r="L373" s="303"/>
    </row>
    <row r="374" spans="1:12" ht="12.75">
      <c r="A374" s="317" t="s">
        <v>197</v>
      </c>
      <c r="B374" s="317" t="s">
        <v>428</v>
      </c>
      <c r="C374" s="303">
        <v>0</v>
      </c>
      <c r="D374" s="303">
        <v>0</v>
      </c>
      <c r="E374" s="303">
        <v>0</v>
      </c>
      <c r="F374" s="303"/>
      <c r="G374" s="317" t="s">
        <v>198</v>
      </c>
      <c r="H374" s="317" t="s">
        <v>396</v>
      </c>
      <c r="I374" s="303">
        <f>SUM(I375)</f>
        <v>0</v>
      </c>
      <c r="J374" s="303">
        <f>SUM(J375)</f>
        <v>0</v>
      </c>
      <c r="K374" s="303">
        <f>SUM(K375)</f>
        <v>880</v>
      </c>
      <c r="L374" s="303">
        <f>SUM(L375)</f>
        <v>880</v>
      </c>
    </row>
    <row r="375" spans="1:12" ht="12.75">
      <c r="A375" s="317" t="s">
        <v>198</v>
      </c>
      <c r="B375" s="317" t="s">
        <v>402</v>
      </c>
      <c r="C375" s="303">
        <v>0</v>
      </c>
      <c r="D375" s="303">
        <v>0</v>
      </c>
      <c r="E375" s="303">
        <v>0</v>
      </c>
      <c r="F375" s="303"/>
      <c r="G375" s="311" t="s">
        <v>100</v>
      </c>
      <c r="H375" s="293" t="s">
        <v>398</v>
      </c>
      <c r="I375" s="303"/>
      <c r="J375" s="303"/>
      <c r="K375" s="303">
        <v>880</v>
      </c>
      <c r="L375" s="303">
        <f>SUM(K375)</f>
        <v>880</v>
      </c>
    </row>
    <row r="376" spans="1:12" ht="12.75">
      <c r="A376" s="311"/>
      <c r="B376" s="301" t="s">
        <v>429</v>
      </c>
      <c r="C376" s="304">
        <f>SUM(C362:C367,C371:C375)</f>
        <v>0</v>
      </c>
      <c r="D376" s="304">
        <f>SUM(D362:D367,D371:D375)</f>
        <v>0</v>
      </c>
      <c r="E376" s="304">
        <f>SUM(E362:E367,E371:E375)</f>
        <v>880</v>
      </c>
      <c r="F376" s="304">
        <f>SUM(F362:F367,F371:F375)</f>
        <v>880</v>
      </c>
      <c r="G376" s="311" t="s">
        <v>441</v>
      </c>
      <c r="H376" s="301" t="s">
        <v>430</v>
      </c>
      <c r="I376" s="304">
        <f>SUM(I364:I366,I369,I373,I374)</f>
        <v>0</v>
      </c>
      <c r="J376" s="304">
        <f>SUM(J364:J366,J369,J373,J374)</f>
        <v>0</v>
      </c>
      <c r="K376" s="304">
        <f>SUM(K364:K366,K369,K373,K374)</f>
        <v>880</v>
      </c>
      <c r="L376" s="304">
        <f>SUM(L364:L366,L369,L373,L374)</f>
        <v>880</v>
      </c>
    </row>
    <row r="377" spans="1:12" ht="12.75">
      <c r="A377" s="311"/>
      <c r="B377" s="327" t="s">
        <v>433</v>
      </c>
      <c r="C377" s="328"/>
      <c r="D377" s="328">
        <f>J376-D376</f>
        <v>0</v>
      </c>
      <c r="E377" s="328"/>
      <c r="F377" s="447"/>
      <c r="G377" s="311" t="s">
        <v>442</v>
      </c>
      <c r="H377" s="293" t="s">
        <v>434</v>
      </c>
      <c r="I377" s="303">
        <f>C376-I376</f>
        <v>0</v>
      </c>
      <c r="J377" s="303"/>
      <c r="K377" s="303">
        <f>E376-K376</f>
        <v>0</v>
      </c>
      <c r="L377" s="303">
        <f>SUM(K377)</f>
        <v>0</v>
      </c>
    </row>
    <row r="378" spans="1:12" ht="13.5">
      <c r="A378" s="311"/>
      <c r="B378" s="332" t="s">
        <v>435</v>
      </c>
      <c r="C378" s="333">
        <f>SUM(C377+C361)</f>
        <v>27620</v>
      </c>
      <c r="D378" s="333">
        <f>SUM(D377+D361)</f>
        <v>0</v>
      </c>
      <c r="E378" s="333">
        <f>SUM(E377+E361)</f>
        <v>880</v>
      </c>
      <c r="F378" s="333">
        <f>SUM(F377+F361)</f>
        <v>28500</v>
      </c>
      <c r="G378" s="311" t="s">
        <v>443</v>
      </c>
      <c r="H378" s="332" t="s">
        <v>436</v>
      </c>
      <c r="I378" s="320"/>
      <c r="J378" s="303">
        <f>SUM(J361,J377)</f>
        <v>0</v>
      </c>
      <c r="K378" s="303">
        <f>SUM(K361,K377)</f>
        <v>0</v>
      </c>
      <c r="L378" s="303">
        <f>SUM(L361,L377)</f>
        <v>0</v>
      </c>
    </row>
    <row r="379" spans="1:12" ht="12.75">
      <c r="A379" s="311"/>
      <c r="B379" s="301" t="s">
        <v>467</v>
      </c>
      <c r="C379" s="304">
        <f>SUM(C376+C360+C378)</f>
        <v>34523</v>
      </c>
      <c r="D379" s="304">
        <f>SUM(D376+D360+D378)</f>
        <v>0</v>
      </c>
      <c r="E379" s="304">
        <f>SUM(E376+E360+E378)</f>
        <v>880</v>
      </c>
      <c r="F379" s="304">
        <f>SUM(F376+F360+F378)</f>
        <v>35403</v>
      </c>
      <c r="G379" s="311" t="s">
        <v>445</v>
      </c>
      <c r="H379" s="301" t="s">
        <v>467</v>
      </c>
      <c r="I379" s="304">
        <f>SUM(I362,I376,I378)</f>
        <v>34523</v>
      </c>
      <c r="J379" s="304">
        <f>SUM(J362,J376,J378)</f>
        <v>0</v>
      </c>
      <c r="K379" s="304">
        <f>SUM(K362,K376,K378)</f>
        <v>880</v>
      </c>
      <c r="L379" s="304">
        <f>SUM(L362,L376,L378)</f>
        <v>35403</v>
      </c>
    </row>
    <row r="380" spans="1:12" ht="12.75">
      <c r="A380" s="564" t="s">
        <v>468</v>
      </c>
      <c r="B380" s="564"/>
      <c r="C380" s="564"/>
      <c r="D380" s="564"/>
      <c r="E380" s="564"/>
      <c r="F380" s="564"/>
      <c r="G380" s="564"/>
      <c r="H380" s="564"/>
      <c r="I380" s="564"/>
      <c r="J380" s="564"/>
      <c r="K380" s="564"/>
      <c r="L380" s="564"/>
    </row>
    <row r="381" spans="1:12" ht="12.75">
      <c r="A381" s="564"/>
      <c r="B381" s="564"/>
      <c r="C381" s="564"/>
      <c r="D381" s="564"/>
      <c r="E381" s="564"/>
      <c r="F381" s="564"/>
      <c r="G381" s="564"/>
      <c r="H381" s="564"/>
      <c r="I381" s="564"/>
      <c r="J381" s="564"/>
      <c r="K381" s="564"/>
      <c r="L381" s="564"/>
    </row>
    <row r="382" spans="1:12" ht="15.75">
      <c r="A382" s="315" t="s">
        <v>447</v>
      </c>
      <c r="B382" s="58"/>
      <c r="C382" s="316"/>
      <c r="D382" s="316"/>
      <c r="E382" s="316"/>
      <c r="F382" s="316"/>
      <c r="G382" s="58"/>
      <c r="H382" s="58"/>
      <c r="I382" s="565" t="s">
        <v>364</v>
      </c>
      <c r="J382" s="566"/>
      <c r="K382" s="566"/>
      <c r="L382" s="566"/>
    </row>
    <row r="383" spans="1:12" ht="12.75" customHeight="1">
      <c r="A383" s="567" t="s">
        <v>365</v>
      </c>
      <c r="B383" s="569" t="s">
        <v>142</v>
      </c>
      <c r="C383" s="571" t="s">
        <v>155</v>
      </c>
      <c r="D383" s="571" t="s">
        <v>52</v>
      </c>
      <c r="E383" s="571" t="s">
        <v>53</v>
      </c>
      <c r="F383" s="571" t="s">
        <v>54</v>
      </c>
      <c r="G383" s="567" t="s">
        <v>365</v>
      </c>
      <c r="H383" s="569" t="s">
        <v>369</v>
      </c>
      <c r="I383" s="571" t="s">
        <v>155</v>
      </c>
      <c r="J383" s="571" t="s">
        <v>52</v>
      </c>
      <c r="K383" s="571" t="s">
        <v>53</v>
      </c>
      <c r="L383" s="571" t="s">
        <v>54</v>
      </c>
    </row>
    <row r="384" spans="1:12" ht="12.75">
      <c r="A384" s="567"/>
      <c r="B384" s="569"/>
      <c r="C384" s="572"/>
      <c r="D384" s="572"/>
      <c r="E384" s="572"/>
      <c r="F384" s="574"/>
      <c r="G384" s="567"/>
      <c r="H384" s="569"/>
      <c r="I384" s="572"/>
      <c r="J384" s="572"/>
      <c r="K384" s="572"/>
      <c r="L384" s="574"/>
    </row>
    <row r="385" spans="1:12" ht="12.75">
      <c r="A385" s="568"/>
      <c r="B385" s="570"/>
      <c r="C385" s="573"/>
      <c r="D385" s="573"/>
      <c r="E385" s="573"/>
      <c r="F385" s="575"/>
      <c r="G385" s="568"/>
      <c r="H385" s="570"/>
      <c r="I385" s="573"/>
      <c r="J385" s="573"/>
      <c r="K385" s="573"/>
      <c r="L385" s="575"/>
    </row>
    <row r="386" spans="1:12" ht="12.75">
      <c r="A386" s="317" t="s">
        <v>88</v>
      </c>
      <c r="B386" s="317" t="s">
        <v>185</v>
      </c>
      <c r="C386" s="318"/>
      <c r="D386" s="318"/>
      <c r="E386" s="318"/>
      <c r="F386" s="318"/>
      <c r="G386" s="317"/>
      <c r="H386" s="317" t="s">
        <v>91</v>
      </c>
      <c r="I386" s="318">
        <f>SUM(I387:I389,I390,I397,I398)</f>
        <v>72488</v>
      </c>
      <c r="J386" s="318">
        <f>SUM(J387:J389,J390,J397,J398)</f>
        <v>0</v>
      </c>
      <c r="K386" s="318">
        <f>SUM(K387:K389,K390,K397,K398)</f>
        <v>0</v>
      </c>
      <c r="L386" s="318">
        <f>SUM(I386:K386)</f>
        <v>72488</v>
      </c>
    </row>
    <row r="387" spans="1:12" ht="12.75">
      <c r="A387" s="311" t="s">
        <v>100</v>
      </c>
      <c r="B387" s="296" t="s">
        <v>370</v>
      </c>
      <c r="C387" s="320">
        <v>0</v>
      </c>
      <c r="D387" s="320">
        <v>0</v>
      </c>
      <c r="E387" s="320">
        <v>0</v>
      </c>
      <c r="F387" s="320"/>
      <c r="G387" s="317" t="s">
        <v>88</v>
      </c>
      <c r="H387" s="317" t="s">
        <v>92</v>
      </c>
      <c r="I387" s="303">
        <f>17226-1235</f>
        <v>15991</v>
      </c>
      <c r="J387" s="303"/>
      <c r="K387" s="303"/>
      <c r="L387" s="318">
        <f aca="true" t="shared" si="40" ref="L387:L396">SUM(I387:K387)</f>
        <v>15991</v>
      </c>
    </row>
    <row r="388" spans="1:12" ht="12.75">
      <c r="A388" s="311" t="s">
        <v>101</v>
      </c>
      <c r="B388" s="296" t="s">
        <v>371</v>
      </c>
      <c r="C388" s="320">
        <v>0</v>
      </c>
      <c r="D388" s="320">
        <v>0</v>
      </c>
      <c r="E388" s="320">
        <v>0</v>
      </c>
      <c r="F388" s="320"/>
      <c r="G388" s="317" t="s">
        <v>372</v>
      </c>
      <c r="H388" s="317" t="s">
        <v>93</v>
      </c>
      <c r="I388" s="303">
        <v>5265</v>
      </c>
      <c r="J388" s="303"/>
      <c r="K388" s="303"/>
      <c r="L388" s="318">
        <f t="shared" si="40"/>
        <v>5265</v>
      </c>
    </row>
    <row r="389" spans="1:12" ht="12.75">
      <c r="A389" s="323" t="s">
        <v>373</v>
      </c>
      <c r="B389" s="293" t="s">
        <v>374</v>
      </c>
      <c r="C389" s="303">
        <v>0</v>
      </c>
      <c r="D389" s="303">
        <v>0</v>
      </c>
      <c r="E389" s="303">
        <v>0</v>
      </c>
      <c r="F389" s="303"/>
      <c r="G389" s="317" t="s">
        <v>194</v>
      </c>
      <c r="H389" s="317" t="s">
        <v>269</v>
      </c>
      <c r="I389" s="303">
        <v>51232</v>
      </c>
      <c r="J389" s="303"/>
      <c r="K389" s="303"/>
      <c r="L389" s="318">
        <f t="shared" si="40"/>
        <v>51232</v>
      </c>
    </row>
    <row r="390" spans="1:12" ht="12.75">
      <c r="A390" s="323" t="s">
        <v>375</v>
      </c>
      <c r="B390" s="293" t="s">
        <v>376</v>
      </c>
      <c r="C390" s="303"/>
      <c r="D390" s="303"/>
      <c r="E390" s="303"/>
      <c r="F390" s="303"/>
      <c r="G390" s="317" t="s">
        <v>195</v>
      </c>
      <c r="H390" s="317" t="s">
        <v>377</v>
      </c>
      <c r="I390" s="303"/>
      <c r="J390" s="303"/>
      <c r="K390" s="303"/>
      <c r="L390" s="318">
        <f t="shared" si="40"/>
        <v>0</v>
      </c>
    </row>
    <row r="391" spans="1:12" ht="12.75">
      <c r="A391" s="323" t="s">
        <v>378</v>
      </c>
      <c r="B391" s="293" t="s">
        <v>379</v>
      </c>
      <c r="C391" s="303"/>
      <c r="D391" s="303"/>
      <c r="E391" s="303"/>
      <c r="F391" s="303"/>
      <c r="G391" s="311" t="s">
        <v>100</v>
      </c>
      <c r="H391" s="293" t="s">
        <v>96</v>
      </c>
      <c r="I391" s="303"/>
      <c r="J391" s="303"/>
      <c r="K391" s="303"/>
      <c r="L391" s="318">
        <f t="shared" si="40"/>
        <v>0</v>
      </c>
    </row>
    <row r="392" spans="1:12" ht="12.75">
      <c r="A392" s="324" t="s">
        <v>192</v>
      </c>
      <c r="B392" s="317" t="s">
        <v>186</v>
      </c>
      <c r="C392" s="303"/>
      <c r="D392" s="303"/>
      <c r="E392" s="303"/>
      <c r="F392" s="303"/>
      <c r="G392" s="311" t="s">
        <v>101</v>
      </c>
      <c r="H392" s="293" t="s">
        <v>380</v>
      </c>
      <c r="I392" s="303"/>
      <c r="J392" s="303"/>
      <c r="K392" s="303"/>
      <c r="L392" s="318">
        <f t="shared" si="40"/>
        <v>0</v>
      </c>
    </row>
    <row r="393" spans="1:12" ht="12.75">
      <c r="A393" s="311" t="s">
        <v>100</v>
      </c>
      <c r="B393" s="296" t="s">
        <v>381</v>
      </c>
      <c r="C393" s="320">
        <v>0</v>
      </c>
      <c r="D393" s="320">
        <v>0</v>
      </c>
      <c r="E393" s="320">
        <v>0</v>
      </c>
      <c r="F393" s="320"/>
      <c r="G393" s="311" t="s">
        <v>102</v>
      </c>
      <c r="H393" s="293" t="s">
        <v>382</v>
      </c>
      <c r="I393" s="303">
        <v>0</v>
      </c>
      <c r="J393" s="303">
        <v>0</v>
      </c>
      <c r="K393" s="303">
        <v>0</v>
      </c>
      <c r="L393" s="318">
        <f t="shared" si="40"/>
        <v>0</v>
      </c>
    </row>
    <row r="394" spans="1:12" ht="12.75">
      <c r="A394" s="311" t="s">
        <v>383</v>
      </c>
      <c r="B394" s="293" t="s">
        <v>384</v>
      </c>
      <c r="C394" s="303">
        <v>0</v>
      </c>
      <c r="D394" s="303">
        <v>0</v>
      </c>
      <c r="E394" s="303">
        <v>0</v>
      </c>
      <c r="F394" s="303"/>
      <c r="G394" s="311" t="s">
        <v>103</v>
      </c>
      <c r="H394" s="293" t="s">
        <v>385</v>
      </c>
      <c r="I394" s="303">
        <v>0</v>
      </c>
      <c r="J394" s="303">
        <v>0</v>
      </c>
      <c r="K394" s="303">
        <v>0</v>
      </c>
      <c r="L394" s="318">
        <f t="shared" si="40"/>
        <v>0</v>
      </c>
    </row>
    <row r="395" spans="1:12" ht="12.75">
      <c r="A395" s="311" t="s">
        <v>386</v>
      </c>
      <c r="B395" s="293" t="s">
        <v>387</v>
      </c>
      <c r="C395" s="303">
        <v>0</v>
      </c>
      <c r="D395" s="303">
        <v>0</v>
      </c>
      <c r="E395" s="303">
        <v>0</v>
      </c>
      <c r="F395" s="303"/>
      <c r="G395" s="311" t="s">
        <v>104</v>
      </c>
      <c r="H395" s="293" t="s">
        <v>388</v>
      </c>
      <c r="I395" s="303">
        <v>0</v>
      </c>
      <c r="J395" s="303">
        <v>0</v>
      </c>
      <c r="K395" s="303">
        <v>0</v>
      </c>
      <c r="L395" s="318">
        <f t="shared" si="40"/>
        <v>0</v>
      </c>
    </row>
    <row r="396" spans="1:12" ht="12.75">
      <c r="A396" s="311" t="s">
        <v>389</v>
      </c>
      <c r="B396" s="293" t="s">
        <v>390</v>
      </c>
      <c r="C396" s="303">
        <v>0</v>
      </c>
      <c r="D396" s="303">
        <v>0</v>
      </c>
      <c r="E396" s="303">
        <v>0</v>
      </c>
      <c r="F396" s="303"/>
      <c r="G396" s="311"/>
      <c r="H396" s="293"/>
      <c r="I396" s="303"/>
      <c r="J396" s="303"/>
      <c r="K396" s="303"/>
      <c r="L396" s="318">
        <f t="shared" si="40"/>
        <v>0</v>
      </c>
    </row>
    <row r="397" spans="1:12" ht="12.75">
      <c r="A397" s="317" t="s">
        <v>391</v>
      </c>
      <c r="B397" s="317" t="s">
        <v>392</v>
      </c>
      <c r="C397" s="303"/>
      <c r="D397" s="303"/>
      <c r="E397" s="303"/>
      <c r="F397" s="303"/>
      <c r="G397" s="317" t="s">
        <v>197</v>
      </c>
      <c r="H397" s="317" t="s">
        <v>393</v>
      </c>
      <c r="I397" s="303"/>
      <c r="J397" s="303"/>
      <c r="K397" s="303"/>
      <c r="L397" s="303"/>
    </row>
    <row r="398" spans="1:12" ht="12.75">
      <c r="A398" s="317" t="s">
        <v>394</v>
      </c>
      <c r="B398" s="317" t="s">
        <v>395</v>
      </c>
      <c r="C398" s="303"/>
      <c r="D398" s="303"/>
      <c r="E398" s="303"/>
      <c r="F398" s="303"/>
      <c r="G398" s="317" t="s">
        <v>198</v>
      </c>
      <c r="H398" s="317" t="s">
        <v>396</v>
      </c>
      <c r="I398" s="303"/>
      <c r="J398" s="303"/>
      <c r="K398" s="303"/>
      <c r="L398" s="303"/>
    </row>
    <row r="399" spans="1:12" ht="12.75">
      <c r="A399" s="311"/>
      <c r="B399" s="293" t="s">
        <v>397</v>
      </c>
      <c r="C399" s="303"/>
      <c r="D399" s="303"/>
      <c r="E399" s="303"/>
      <c r="F399" s="303"/>
      <c r="G399" s="311" t="s">
        <v>100</v>
      </c>
      <c r="H399" s="293" t="s">
        <v>398</v>
      </c>
      <c r="I399" s="303"/>
      <c r="J399" s="303"/>
      <c r="K399" s="303"/>
      <c r="L399" s="303"/>
    </row>
    <row r="400" spans="1:12" ht="12.75">
      <c r="A400" s="317" t="s">
        <v>399</v>
      </c>
      <c r="B400" s="317" t="s">
        <v>400</v>
      </c>
      <c r="C400" s="320">
        <v>0</v>
      </c>
      <c r="D400" s="320">
        <v>0</v>
      </c>
      <c r="E400" s="320">
        <v>0</v>
      </c>
      <c r="F400" s="320"/>
      <c r="G400" s="311" t="s">
        <v>101</v>
      </c>
      <c r="H400" s="293" t="s">
        <v>401</v>
      </c>
      <c r="I400" s="303"/>
      <c r="J400" s="303"/>
      <c r="K400" s="303"/>
      <c r="L400" s="303"/>
    </row>
    <row r="401" spans="1:12" ht="12.75">
      <c r="A401" s="317" t="s">
        <v>198</v>
      </c>
      <c r="B401" s="317" t="s">
        <v>402</v>
      </c>
      <c r="C401" s="303">
        <v>0</v>
      </c>
      <c r="D401" s="303">
        <v>0</v>
      </c>
      <c r="E401" s="303">
        <v>0</v>
      </c>
      <c r="F401" s="303"/>
      <c r="G401" s="311"/>
      <c r="H401" s="293"/>
      <c r="I401" s="303"/>
      <c r="J401" s="303"/>
      <c r="K401" s="303"/>
      <c r="L401" s="303"/>
    </row>
    <row r="402" spans="1:12" ht="12.75">
      <c r="A402" s="311"/>
      <c r="B402" s="301" t="s">
        <v>403</v>
      </c>
      <c r="C402" s="304">
        <f>SUM(C387+C388+C393+C397+C398+C400+C401)</f>
        <v>0</v>
      </c>
      <c r="D402" s="304">
        <f>SUM(D387+D388+D393+D397+D398+D400+D401)</f>
        <v>0</v>
      </c>
      <c r="E402" s="304">
        <f>SUM(E387+E388+E393+E397+E398+E400+E401)</f>
        <v>0</v>
      </c>
      <c r="F402" s="446"/>
      <c r="G402" s="311"/>
      <c r="H402" s="301" t="s">
        <v>404</v>
      </c>
      <c r="I402" s="304">
        <f>SUM(I387:I389)</f>
        <v>72488</v>
      </c>
      <c r="J402" s="304">
        <f>SUM(J387:J389)</f>
        <v>0</v>
      </c>
      <c r="K402" s="304">
        <f>SUM(K387:K389)</f>
        <v>0</v>
      </c>
      <c r="L402" s="304">
        <f>SUM(I402:K402)</f>
        <v>72488</v>
      </c>
    </row>
    <row r="403" spans="1:12" ht="12.75">
      <c r="A403" s="311"/>
      <c r="B403" s="327" t="s">
        <v>405</v>
      </c>
      <c r="C403" s="328"/>
      <c r="D403" s="328"/>
      <c r="E403" s="328"/>
      <c r="F403" s="328"/>
      <c r="G403" s="311"/>
      <c r="H403" s="293" t="s">
        <v>406</v>
      </c>
      <c r="I403" s="328">
        <f>C402-I402</f>
        <v>-72488</v>
      </c>
      <c r="J403" s="328"/>
      <c r="K403" s="328">
        <f>E402-K402</f>
        <v>0</v>
      </c>
      <c r="L403" s="303">
        <f>SUM(I403:K403)</f>
        <v>-72488</v>
      </c>
    </row>
    <row r="404" spans="1:12" ht="12.75">
      <c r="A404" s="311"/>
      <c r="B404" s="317" t="s">
        <v>407</v>
      </c>
      <c r="C404" s="303"/>
      <c r="D404" s="303"/>
      <c r="E404" s="303"/>
      <c r="F404" s="303"/>
      <c r="G404" s="311"/>
      <c r="H404" s="301" t="s">
        <v>408</v>
      </c>
      <c r="I404" s="304">
        <f>SUM(I402:I403)</f>
        <v>0</v>
      </c>
      <c r="J404" s="304">
        <f>SUM(J402:J403)</f>
        <v>0</v>
      </c>
      <c r="K404" s="304">
        <f>SUM(K402:K403)</f>
        <v>0</v>
      </c>
      <c r="L404" s="304">
        <f>SUM(L402:L403)</f>
        <v>0</v>
      </c>
    </row>
    <row r="405" spans="1:12" ht="12.75">
      <c r="A405" s="317" t="s">
        <v>409</v>
      </c>
      <c r="B405" s="317" t="s">
        <v>410</v>
      </c>
      <c r="C405" s="303"/>
      <c r="D405" s="303"/>
      <c r="E405" s="303"/>
      <c r="F405" s="303"/>
      <c r="G405" s="311"/>
      <c r="H405" s="327" t="s">
        <v>411</v>
      </c>
      <c r="I405" s="303"/>
      <c r="J405" s="303"/>
      <c r="K405" s="303"/>
      <c r="L405" s="303"/>
    </row>
    <row r="406" spans="1:12" ht="12.75">
      <c r="A406" s="317" t="s">
        <v>412</v>
      </c>
      <c r="B406" s="317" t="s">
        <v>413</v>
      </c>
      <c r="C406" s="303"/>
      <c r="D406" s="303"/>
      <c r="E406" s="303"/>
      <c r="F406" s="303"/>
      <c r="G406" s="311"/>
      <c r="H406" s="317" t="s">
        <v>94</v>
      </c>
      <c r="I406" s="303"/>
      <c r="J406" s="303"/>
      <c r="K406" s="303"/>
      <c r="L406" s="303"/>
    </row>
    <row r="407" spans="1:12" ht="12.75">
      <c r="A407" s="317" t="s">
        <v>414</v>
      </c>
      <c r="B407" s="317" t="s">
        <v>415</v>
      </c>
      <c r="C407" s="303"/>
      <c r="D407" s="303"/>
      <c r="E407" s="303"/>
      <c r="F407" s="303"/>
      <c r="G407" s="317" t="s">
        <v>194</v>
      </c>
      <c r="H407" s="317" t="s">
        <v>416</v>
      </c>
      <c r="I407" s="303"/>
      <c r="J407" s="303"/>
      <c r="K407" s="303"/>
      <c r="L407" s="303"/>
    </row>
    <row r="408" spans="1:12" ht="12.75">
      <c r="A408" s="317" t="s">
        <v>417</v>
      </c>
      <c r="B408" s="317" t="s">
        <v>193</v>
      </c>
      <c r="C408" s="303"/>
      <c r="D408" s="303"/>
      <c r="E408" s="303"/>
      <c r="F408" s="303"/>
      <c r="G408" s="317" t="s">
        <v>195</v>
      </c>
      <c r="H408" s="317" t="s">
        <v>377</v>
      </c>
      <c r="I408" s="303"/>
      <c r="J408" s="303"/>
      <c r="K408" s="303"/>
      <c r="L408" s="303"/>
    </row>
    <row r="409" spans="1:12" ht="12.75">
      <c r="A409" s="317" t="s">
        <v>194</v>
      </c>
      <c r="B409" s="317" t="s">
        <v>418</v>
      </c>
      <c r="C409" s="303"/>
      <c r="D409" s="303"/>
      <c r="E409" s="303"/>
      <c r="F409" s="303"/>
      <c r="G409" s="311" t="s">
        <v>100</v>
      </c>
      <c r="H409" s="293" t="s">
        <v>96</v>
      </c>
      <c r="I409" s="303"/>
      <c r="J409" s="303"/>
      <c r="K409" s="303"/>
      <c r="L409" s="303"/>
    </row>
    <row r="410" spans="1:12" ht="12.75">
      <c r="A410" s="311" t="s">
        <v>100</v>
      </c>
      <c r="B410" s="330" t="s">
        <v>419</v>
      </c>
      <c r="C410" s="303"/>
      <c r="D410" s="303"/>
      <c r="E410" s="303"/>
      <c r="F410" s="303"/>
      <c r="G410" s="311" t="s">
        <v>101</v>
      </c>
      <c r="H410" s="293" t="s">
        <v>420</v>
      </c>
      <c r="I410" s="303"/>
      <c r="J410" s="303"/>
      <c r="K410" s="303"/>
      <c r="L410" s="303"/>
    </row>
    <row r="411" spans="1:12" ht="12.75">
      <c r="A411" s="311" t="s">
        <v>101</v>
      </c>
      <c r="B411" s="330" t="s">
        <v>421</v>
      </c>
      <c r="C411" s="303"/>
      <c r="D411" s="303"/>
      <c r="E411" s="303"/>
      <c r="F411" s="303"/>
      <c r="G411" s="317" t="s">
        <v>196</v>
      </c>
      <c r="H411" s="317" t="s">
        <v>422</v>
      </c>
      <c r="I411" s="303"/>
      <c r="J411" s="303"/>
      <c r="K411" s="303"/>
      <c r="L411" s="303"/>
    </row>
    <row r="412" spans="1:12" ht="12.75">
      <c r="A412" s="311" t="s">
        <v>102</v>
      </c>
      <c r="B412" s="330" t="s">
        <v>161</v>
      </c>
      <c r="C412" s="303"/>
      <c r="D412" s="303"/>
      <c r="E412" s="303"/>
      <c r="F412" s="303"/>
      <c r="G412" s="311" t="s">
        <v>100</v>
      </c>
      <c r="H412" s="330" t="s">
        <v>117</v>
      </c>
      <c r="I412" s="303"/>
      <c r="J412" s="303"/>
      <c r="K412" s="303"/>
      <c r="L412" s="303"/>
    </row>
    <row r="413" spans="1:12" ht="12.75">
      <c r="A413" s="317" t="s">
        <v>423</v>
      </c>
      <c r="B413" s="317" t="s">
        <v>424</v>
      </c>
      <c r="C413" s="303"/>
      <c r="D413" s="303"/>
      <c r="E413" s="303"/>
      <c r="F413" s="303"/>
      <c r="G413" s="311" t="s">
        <v>101</v>
      </c>
      <c r="H413" s="330" t="s">
        <v>97</v>
      </c>
      <c r="I413" s="303"/>
      <c r="J413" s="303"/>
      <c r="K413" s="303"/>
      <c r="L413" s="303"/>
    </row>
    <row r="414" spans="1:12" ht="12.75">
      <c r="A414" s="317" t="s">
        <v>425</v>
      </c>
      <c r="B414" s="317" t="s">
        <v>426</v>
      </c>
      <c r="C414" s="303"/>
      <c r="D414" s="303"/>
      <c r="E414" s="303"/>
      <c r="F414" s="303"/>
      <c r="G414" s="311" t="s">
        <v>102</v>
      </c>
      <c r="H414" s="293" t="s">
        <v>163</v>
      </c>
      <c r="I414" s="303"/>
      <c r="J414" s="303"/>
      <c r="K414" s="303"/>
      <c r="L414" s="303"/>
    </row>
    <row r="415" spans="1:12" ht="12.75">
      <c r="A415" s="317" t="s">
        <v>196</v>
      </c>
      <c r="B415" s="317" t="s">
        <v>427</v>
      </c>
      <c r="C415" s="303">
        <v>0</v>
      </c>
      <c r="D415" s="303">
        <v>0</v>
      </c>
      <c r="E415" s="303">
        <v>0</v>
      </c>
      <c r="F415" s="303"/>
      <c r="G415" s="317" t="s">
        <v>197</v>
      </c>
      <c r="H415" s="317" t="s">
        <v>428</v>
      </c>
      <c r="I415" s="303"/>
      <c r="J415" s="303"/>
      <c r="K415" s="303"/>
      <c r="L415" s="303"/>
    </row>
    <row r="416" spans="1:12" ht="12.75">
      <c r="A416" s="317" t="s">
        <v>197</v>
      </c>
      <c r="B416" s="317" t="s">
        <v>428</v>
      </c>
      <c r="C416" s="303">
        <v>0</v>
      </c>
      <c r="D416" s="303">
        <v>0</v>
      </c>
      <c r="E416" s="303">
        <v>0</v>
      </c>
      <c r="F416" s="303"/>
      <c r="G416" s="317" t="s">
        <v>198</v>
      </c>
      <c r="H416" s="317" t="s">
        <v>396</v>
      </c>
      <c r="I416" s="303"/>
      <c r="J416" s="303"/>
      <c r="K416" s="303"/>
      <c r="L416" s="303"/>
    </row>
    <row r="417" spans="1:12" ht="12.75">
      <c r="A417" s="317" t="s">
        <v>198</v>
      </c>
      <c r="B417" s="317" t="s">
        <v>402</v>
      </c>
      <c r="C417" s="303">
        <v>0</v>
      </c>
      <c r="D417" s="303">
        <v>0</v>
      </c>
      <c r="E417" s="303">
        <v>0</v>
      </c>
      <c r="F417" s="303"/>
      <c r="G417" s="311" t="s">
        <v>100</v>
      </c>
      <c r="H417" s="293" t="s">
        <v>398</v>
      </c>
      <c r="I417" s="303"/>
      <c r="J417" s="303"/>
      <c r="K417" s="303"/>
      <c r="L417" s="303"/>
    </row>
    <row r="418" spans="1:12" ht="12.75">
      <c r="A418" s="311"/>
      <c r="B418" s="301" t="s">
        <v>429</v>
      </c>
      <c r="C418" s="304">
        <f>SUM(C415:C417)</f>
        <v>0</v>
      </c>
      <c r="D418" s="304">
        <f>SUM(D415:D417)</f>
        <v>0</v>
      </c>
      <c r="E418" s="304">
        <f>SUM(E415:E417)</f>
        <v>0</v>
      </c>
      <c r="F418" s="304"/>
      <c r="G418" s="311" t="s">
        <v>441</v>
      </c>
      <c r="H418" s="301" t="s">
        <v>430</v>
      </c>
      <c r="I418" s="304">
        <f>SUM(I415:I417)</f>
        <v>0</v>
      </c>
      <c r="J418" s="304">
        <f>SUM(J415:J417)</f>
        <v>0</v>
      </c>
      <c r="K418" s="304">
        <f>SUM(K415:K417)</f>
        <v>0</v>
      </c>
      <c r="L418" s="304">
        <f>SUM(L415:L417)</f>
        <v>0</v>
      </c>
    </row>
    <row r="419" spans="1:12" ht="12.75">
      <c r="A419" s="311"/>
      <c r="B419" s="327" t="s">
        <v>433</v>
      </c>
      <c r="C419" s="328"/>
      <c r="D419" s="328">
        <f>J418-D418</f>
        <v>0</v>
      </c>
      <c r="E419" s="328"/>
      <c r="F419" s="447"/>
      <c r="G419" s="311" t="s">
        <v>442</v>
      </c>
      <c r="H419" s="293" t="s">
        <v>434</v>
      </c>
      <c r="I419" s="303">
        <f>C418-I418</f>
        <v>0</v>
      </c>
      <c r="J419" s="303"/>
      <c r="K419" s="303">
        <f>E418-K418</f>
        <v>0</v>
      </c>
      <c r="L419" s="303">
        <f>F418-L418</f>
        <v>0</v>
      </c>
    </row>
    <row r="420" spans="1:12" ht="13.5">
      <c r="A420" s="311"/>
      <c r="B420" s="332" t="s">
        <v>435</v>
      </c>
      <c r="C420" s="333">
        <f>SUM(C419+C403)</f>
        <v>0</v>
      </c>
      <c r="D420" s="333"/>
      <c r="E420" s="333">
        <f>SUM(E419+E403)</f>
        <v>0</v>
      </c>
      <c r="F420" s="313"/>
      <c r="G420" s="311" t="s">
        <v>443</v>
      </c>
      <c r="H420" s="332" t="s">
        <v>436</v>
      </c>
      <c r="I420" s="320"/>
      <c r="J420" s="303"/>
      <c r="K420" s="320"/>
      <c r="L420" s="303"/>
    </row>
    <row r="421" spans="1:12" ht="12.75">
      <c r="A421" s="311"/>
      <c r="B421" s="301" t="s">
        <v>470</v>
      </c>
      <c r="C421" s="304">
        <f>SUM(C418+C402+C420)</f>
        <v>0</v>
      </c>
      <c r="D421" s="304">
        <f>SUM(D418+D402+D420)</f>
        <v>0</v>
      </c>
      <c r="E421" s="304">
        <f>SUM(E418+E402+E420)</f>
        <v>0</v>
      </c>
      <c r="F421" s="304"/>
      <c r="G421" s="311" t="s">
        <v>445</v>
      </c>
      <c r="H421" s="301" t="s">
        <v>470</v>
      </c>
      <c r="I421" s="304">
        <f>SUM(I404,I418,I420)</f>
        <v>0</v>
      </c>
      <c r="J421" s="304">
        <f>SUM(J404,J418,J420)</f>
        <v>0</v>
      </c>
      <c r="K421" s="304">
        <f>SUM(K404,K418,K420)</f>
        <v>0</v>
      </c>
      <c r="L421" s="304">
        <f>SUM(L404,L418,L420)</f>
        <v>0</v>
      </c>
    </row>
  </sheetData>
  <mergeCells count="140">
    <mergeCell ref="A1:L2"/>
    <mergeCell ref="I3:L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A44:L45"/>
    <mergeCell ref="I46:L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K47:K49"/>
    <mergeCell ref="L47:L49"/>
    <mergeCell ref="A86:L87"/>
    <mergeCell ref="I88:L88"/>
    <mergeCell ref="A89:A91"/>
    <mergeCell ref="B89:B91"/>
    <mergeCell ref="C89:C91"/>
    <mergeCell ref="D89:D91"/>
    <mergeCell ref="E89:E91"/>
    <mergeCell ref="F89:F91"/>
    <mergeCell ref="G89:G91"/>
    <mergeCell ref="H89:H91"/>
    <mergeCell ref="I89:I91"/>
    <mergeCell ref="J89:J91"/>
    <mergeCell ref="K89:K91"/>
    <mergeCell ref="L89:L91"/>
    <mergeCell ref="A128:L129"/>
    <mergeCell ref="I130:L130"/>
    <mergeCell ref="A131:A133"/>
    <mergeCell ref="B131:B133"/>
    <mergeCell ref="C131:C133"/>
    <mergeCell ref="D131:D133"/>
    <mergeCell ref="E131:E133"/>
    <mergeCell ref="F131:F133"/>
    <mergeCell ref="G131:G133"/>
    <mergeCell ref="H131:H133"/>
    <mergeCell ref="I131:I133"/>
    <mergeCell ref="J131:J133"/>
    <mergeCell ref="K131:K133"/>
    <mergeCell ref="L131:L133"/>
    <mergeCell ref="A170:L171"/>
    <mergeCell ref="I172:L172"/>
    <mergeCell ref="A173:A175"/>
    <mergeCell ref="B173:B175"/>
    <mergeCell ref="C173:C175"/>
    <mergeCell ref="D173:D175"/>
    <mergeCell ref="E173:E175"/>
    <mergeCell ref="F173:F175"/>
    <mergeCell ref="G173:G175"/>
    <mergeCell ref="H173:H175"/>
    <mergeCell ref="I173:I175"/>
    <mergeCell ref="J173:J175"/>
    <mergeCell ref="K173:K175"/>
    <mergeCell ref="L173:L175"/>
    <mergeCell ref="A212:L213"/>
    <mergeCell ref="I214:L214"/>
    <mergeCell ref="A215:A217"/>
    <mergeCell ref="B215:B217"/>
    <mergeCell ref="C215:C217"/>
    <mergeCell ref="D215:D217"/>
    <mergeCell ref="E215:E217"/>
    <mergeCell ref="F215:F217"/>
    <mergeCell ref="G215:G217"/>
    <mergeCell ref="H215:H217"/>
    <mergeCell ref="I215:I217"/>
    <mergeCell ref="J215:J217"/>
    <mergeCell ref="K215:K217"/>
    <mergeCell ref="L215:L217"/>
    <mergeCell ref="A254:L255"/>
    <mergeCell ref="I256:L256"/>
    <mergeCell ref="A257:A259"/>
    <mergeCell ref="B257:B259"/>
    <mergeCell ref="C257:C259"/>
    <mergeCell ref="D257:D259"/>
    <mergeCell ref="E257:E259"/>
    <mergeCell ref="F257:F259"/>
    <mergeCell ref="G257:G259"/>
    <mergeCell ref="H257:H259"/>
    <mergeCell ref="I257:I259"/>
    <mergeCell ref="J257:J259"/>
    <mergeCell ref="K257:K259"/>
    <mergeCell ref="L257:L259"/>
    <mergeCell ref="A296:L297"/>
    <mergeCell ref="I298:L298"/>
    <mergeCell ref="A299:A301"/>
    <mergeCell ref="B299:B301"/>
    <mergeCell ref="C299:C301"/>
    <mergeCell ref="D299:D301"/>
    <mergeCell ref="E299:E301"/>
    <mergeCell ref="F299:F301"/>
    <mergeCell ref="G299:G301"/>
    <mergeCell ref="H299:H301"/>
    <mergeCell ref="I299:I301"/>
    <mergeCell ref="J299:J301"/>
    <mergeCell ref="K299:K301"/>
    <mergeCell ref="L299:L301"/>
    <mergeCell ref="A338:L339"/>
    <mergeCell ref="I340:L340"/>
    <mergeCell ref="A341:A343"/>
    <mergeCell ref="B341:B343"/>
    <mergeCell ref="C341:C343"/>
    <mergeCell ref="D341:D343"/>
    <mergeCell ref="E341:E343"/>
    <mergeCell ref="F341:F343"/>
    <mergeCell ref="G341:G343"/>
    <mergeCell ref="H341:H343"/>
    <mergeCell ref="I341:I343"/>
    <mergeCell ref="J341:J343"/>
    <mergeCell ref="K341:K343"/>
    <mergeCell ref="L341:L343"/>
    <mergeCell ref="A380:L381"/>
    <mergeCell ref="I382:L382"/>
    <mergeCell ref="A383:A385"/>
    <mergeCell ref="B383:B385"/>
    <mergeCell ref="C383:C385"/>
    <mergeCell ref="D383:D385"/>
    <mergeCell ref="E383:E385"/>
    <mergeCell ref="F383:F385"/>
    <mergeCell ref="G383:G385"/>
    <mergeCell ref="H383:H385"/>
    <mergeCell ref="I383:I385"/>
    <mergeCell ref="J383:J385"/>
    <mergeCell ref="K383:K385"/>
    <mergeCell ref="L383:L385"/>
  </mergeCells>
  <printOptions/>
  <pageMargins left="0.75" right="0.75" top="1" bottom="1" header="0.5" footer="0.5"/>
  <pageSetup horizontalDpi="600" verticalDpi="600" orientation="landscape" paperSize="9" scale="84" r:id="rId1"/>
  <headerFooter alignWithMargins="0">
    <oddFooter>&amp;R2009. 05. 15.</oddFooter>
  </headerFooter>
  <rowBreaks count="9" manualBreakCount="9">
    <brk id="43" max="255" man="1"/>
    <brk id="85" max="255" man="1"/>
    <brk id="127" max="255" man="1"/>
    <brk id="169" max="255" man="1"/>
    <brk id="211" max="255" man="1"/>
    <brk id="253" max="255" man="1"/>
    <brk id="295" max="255" man="1"/>
    <brk id="337" max="255" man="1"/>
    <brk id="37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421"/>
  <sheetViews>
    <sheetView workbookViewId="0" topLeftCell="A1">
      <selection activeCell="A1" sqref="A1:L2"/>
    </sheetView>
  </sheetViews>
  <sheetFormatPr defaultColWidth="9.140625" defaultRowHeight="12.75"/>
  <cols>
    <col min="1" max="1" width="6.140625" style="58" customWidth="1"/>
    <col min="2" max="2" width="32.28125" style="58" customWidth="1"/>
    <col min="3" max="3" width="8.57421875" style="316" customWidth="1"/>
    <col min="4" max="4" width="8.7109375" style="316" customWidth="1"/>
    <col min="5" max="5" width="8.8515625" style="316" customWidth="1"/>
    <col min="6" max="6" width="6.57421875" style="58" customWidth="1"/>
    <col min="7" max="7" width="5.57421875" style="58" customWidth="1"/>
    <col min="8" max="8" width="30.7109375" style="58" customWidth="1"/>
    <col min="9" max="9" width="8.7109375" style="316" customWidth="1"/>
    <col min="10" max="10" width="9.00390625" style="316" customWidth="1"/>
    <col min="11" max="11" width="8.57421875" style="316" customWidth="1"/>
    <col min="12" max="12" width="7.140625" style="58" customWidth="1"/>
  </cols>
  <sheetData>
    <row r="1" spans="1:12" ht="12.75">
      <c r="A1" s="564" t="s">
        <v>362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</row>
    <row r="2" spans="1:12" ht="12.75">
      <c r="A2" s="564"/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</row>
    <row r="3" spans="1:12" ht="15.75">
      <c r="A3" s="315" t="s">
        <v>363</v>
      </c>
      <c r="I3" s="565" t="s">
        <v>364</v>
      </c>
      <c r="J3" s="566"/>
      <c r="K3" s="566"/>
      <c r="L3" s="566"/>
    </row>
    <row r="4" spans="1:12" ht="12.75">
      <c r="A4" s="567" t="s">
        <v>365</v>
      </c>
      <c r="B4" s="569" t="s">
        <v>142</v>
      </c>
      <c r="C4" s="571" t="s">
        <v>366</v>
      </c>
      <c r="D4" s="571" t="s">
        <v>367</v>
      </c>
      <c r="E4" s="571" t="s">
        <v>155</v>
      </c>
      <c r="F4" s="559" t="s">
        <v>368</v>
      </c>
      <c r="G4" s="567" t="s">
        <v>365</v>
      </c>
      <c r="H4" s="569" t="s">
        <v>369</v>
      </c>
      <c r="I4" s="571" t="s">
        <v>366</v>
      </c>
      <c r="J4" s="571" t="s">
        <v>367</v>
      </c>
      <c r="K4" s="571" t="s">
        <v>155</v>
      </c>
      <c r="L4" s="559" t="s">
        <v>368</v>
      </c>
    </row>
    <row r="5" spans="1:12" ht="12.75">
      <c r="A5" s="567"/>
      <c r="B5" s="569"/>
      <c r="C5" s="572"/>
      <c r="D5" s="572"/>
      <c r="E5" s="572"/>
      <c r="F5" s="560"/>
      <c r="G5" s="567"/>
      <c r="H5" s="569"/>
      <c r="I5" s="572"/>
      <c r="J5" s="572"/>
      <c r="K5" s="572"/>
      <c r="L5" s="560"/>
    </row>
    <row r="6" spans="1:12" ht="12.75">
      <c r="A6" s="568"/>
      <c r="B6" s="570"/>
      <c r="C6" s="573"/>
      <c r="D6" s="573"/>
      <c r="E6" s="573"/>
      <c r="F6" s="553"/>
      <c r="G6" s="568"/>
      <c r="H6" s="570"/>
      <c r="I6" s="573"/>
      <c r="J6" s="573"/>
      <c r="K6" s="573"/>
      <c r="L6" s="553"/>
    </row>
    <row r="7" spans="1:12" ht="12.75">
      <c r="A7" s="317" t="s">
        <v>88</v>
      </c>
      <c r="B7" s="317" t="s">
        <v>185</v>
      </c>
      <c r="C7" s="318"/>
      <c r="D7" s="318"/>
      <c r="E7" s="318"/>
      <c r="F7" s="317"/>
      <c r="G7" s="317"/>
      <c r="H7" s="317" t="s">
        <v>91</v>
      </c>
      <c r="I7" s="318">
        <f>SUM(I8:I11,I18,I19)</f>
        <v>1151473</v>
      </c>
      <c r="J7" s="318">
        <f>SUM(J8:J11,J18,J19)</f>
        <v>1106408</v>
      </c>
      <c r="K7" s="318">
        <f>SUM(K8:K11,K18,K19)</f>
        <v>1150143</v>
      </c>
      <c r="L7" s="319">
        <f>K7/J7*100</f>
        <v>103.95288175790486</v>
      </c>
    </row>
    <row r="8" spans="1:12" ht="12.75">
      <c r="A8" s="311" t="s">
        <v>100</v>
      </c>
      <c r="B8" s="296" t="s">
        <v>370</v>
      </c>
      <c r="C8" s="320">
        <f>SUM(C51+C93)</f>
        <v>47081</v>
      </c>
      <c r="D8" s="320">
        <f>SUM(D51+D93)</f>
        <v>42622</v>
      </c>
      <c r="E8" s="320">
        <f>SUM(E51+E93)</f>
        <v>56599</v>
      </c>
      <c r="F8" s="321">
        <f>E8/D8*100</f>
        <v>132.79292384214725</v>
      </c>
      <c r="G8" s="317" t="s">
        <v>88</v>
      </c>
      <c r="H8" s="317" t="s">
        <v>92</v>
      </c>
      <c r="I8" s="303">
        <f aca="true" t="shared" si="0" ref="I8:K10">SUM(I51+I93)</f>
        <v>521941</v>
      </c>
      <c r="J8" s="303">
        <f t="shared" si="0"/>
        <v>473728</v>
      </c>
      <c r="K8" s="303">
        <f t="shared" si="0"/>
        <v>487860</v>
      </c>
      <c r="L8" s="322">
        <f>K8/J8*100</f>
        <v>102.98314644690625</v>
      </c>
    </row>
    <row r="9" spans="1:12" ht="12.75">
      <c r="A9" s="311" t="s">
        <v>101</v>
      </c>
      <c r="B9" s="296" t="s">
        <v>371</v>
      </c>
      <c r="C9" s="320">
        <f>SUM(C10:C12)</f>
        <v>255971</v>
      </c>
      <c r="D9" s="320">
        <f>SUM(D10:D12)</f>
        <v>268190</v>
      </c>
      <c r="E9" s="320">
        <f>SUM(E10:E12)</f>
        <v>281420</v>
      </c>
      <c r="F9" s="321">
        <f>E9/D9*100</f>
        <v>104.93306983854728</v>
      </c>
      <c r="G9" s="317" t="s">
        <v>372</v>
      </c>
      <c r="H9" s="317" t="s">
        <v>93</v>
      </c>
      <c r="I9" s="303">
        <f t="shared" si="0"/>
        <v>166761</v>
      </c>
      <c r="J9" s="303">
        <f t="shared" si="0"/>
        <v>154201</v>
      </c>
      <c r="K9" s="303">
        <f t="shared" si="0"/>
        <v>151657</v>
      </c>
      <c r="L9" s="322">
        <f>K9/J9*100</f>
        <v>98.35020525158723</v>
      </c>
    </row>
    <row r="10" spans="1:12" ht="12.75">
      <c r="A10" s="323" t="s">
        <v>373</v>
      </c>
      <c r="B10" s="293" t="s">
        <v>374</v>
      </c>
      <c r="C10" s="303">
        <f aca="true" t="shared" si="1" ref="C10:E12">SUM(C53+C95)</f>
        <v>61700</v>
      </c>
      <c r="D10" s="303">
        <f t="shared" si="1"/>
        <v>66053</v>
      </c>
      <c r="E10" s="303">
        <f t="shared" si="1"/>
        <v>66800</v>
      </c>
      <c r="F10" s="322">
        <f>E10/D10*100</f>
        <v>101.13091002679666</v>
      </c>
      <c r="G10" s="317" t="s">
        <v>194</v>
      </c>
      <c r="H10" s="317" t="s">
        <v>269</v>
      </c>
      <c r="I10" s="303">
        <f t="shared" si="0"/>
        <v>240076</v>
      </c>
      <c r="J10" s="303">
        <f t="shared" si="0"/>
        <v>227829</v>
      </c>
      <c r="K10" s="303">
        <f t="shared" si="0"/>
        <v>235346</v>
      </c>
      <c r="L10" s="322">
        <f>K10/J10*100</f>
        <v>103.2994043778448</v>
      </c>
    </row>
    <row r="11" spans="1:12" ht="12.75">
      <c r="A11" s="323" t="s">
        <v>375</v>
      </c>
      <c r="B11" s="293" t="s">
        <v>376</v>
      </c>
      <c r="C11" s="303">
        <f t="shared" si="1"/>
        <v>193271</v>
      </c>
      <c r="D11" s="303">
        <f t="shared" si="1"/>
        <v>199188</v>
      </c>
      <c r="E11" s="303">
        <f t="shared" si="1"/>
        <v>211620</v>
      </c>
      <c r="F11" s="322">
        <f>E11/D11*100</f>
        <v>106.2413398397494</v>
      </c>
      <c r="G11" s="317" t="s">
        <v>195</v>
      </c>
      <c r="H11" s="317" t="s">
        <v>377</v>
      </c>
      <c r="I11" s="303">
        <f>SUM(I12:I16)</f>
        <v>197695</v>
      </c>
      <c r="J11" s="303">
        <f>SUM(J12:J16)</f>
        <v>228397</v>
      </c>
      <c r="K11" s="303">
        <f>SUM(K12:K16)</f>
        <v>207419</v>
      </c>
      <c r="L11" s="322">
        <f aca="true" t="shared" si="2" ref="L11:L18">K11/J11*100</f>
        <v>90.8151157852336</v>
      </c>
    </row>
    <row r="12" spans="1:12" ht="12.75">
      <c r="A12" s="323" t="s">
        <v>378</v>
      </c>
      <c r="B12" s="293" t="s">
        <v>379</v>
      </c>
      <c r="C12" s="303">
        <f t="shared" si="1"/>
        <v>1000</v>
      </c>
      <c r="D12" s="303">
        <f t="shared" si="1"/>
        <v>2949</v>
      </c>
      <c r="E12" s="303">
        <f t="shared" si="1"/>
        <v>3000</v>
      </c>
      <c r="F12" s="322">
        <f>E12/D12*100</f>
        <v>101.7293997965412</v>
      </c>
      <c r="G12" s="311" t="s">
        <v>100</v>
      </c>
      <c r="H12" s="293" t="s">
        <v>96</v>
      </c>
      <c r="I12" s="303">
        <f aca="true" t="shared" si="3" ref="I12:K16">SUM(I55+I97)</f>
        <v>5558</v>
      </c>
      <c r="J12" s="303">
        <f t="shared" si="3"/>
        <v>6854</v>
      </c>
      <c r="K12" s="303">
        <f t="shared" si="3"/>
        <v>20676</v>
      </c>
      <c r="L12" s="322">
        <f t="shared" si="2"/>
        <v>301.6632623285672</v>
      </c>
    </row>
    <row r="13" spans="1:12" ht="12.75">
      <c r="A13" s="324" t="s">
        <v>192</v>
      </c>
      <c r="B13" s="317" t="s">
        <v>186</v>
      </c>
      <c r="C13" s="303"/>
      <c r="D13" s="303"/>
      <c r="E13" s="303"/>
      <c r="F13" s="322"/>
      <c r="G13" s="311" t="s">
        <v>101</v>
      </c>
      <c r="H13" s="293" t="s">
        <v>380</v>
      </c>
      <c r="I13" s="303">
        <f t="shared" si="3"/>
        <v>8500</v>
      </c>
      <c r="J13" s="303">
        <f t="shared" si="3"/>
        <v>12795</v>
      </c>
      <c r="K13" s="303">
        <f t="shared" si="3"/>
        <v>13972</v>
      </c>
      <c r="L13" s="322">
        <f t="shared" si="2"/>
        <v>109.19890582258695</v>
      </c>
    </row>
    <row r="14" spans="1:12" ht="12.75">
      <c r="A14" s="311" t="s">
        <v>100</v>
      </c>
      <c r="B14" s="296" t="s">
        <v>381</v>
      </c>
      <c r="C14" s="320">
        <f>SUM(C15:C17)</f>
        <v>604747</v>
      </c>
      <c r="D14" s="320">
        <f>SUM(D15:D17)</f>
        <v>665729</v>
      </c>
      <c r="E14" s="320">
        <f>SUM(E15:E17)</f>
        <v>608307</v>
      </c>
      <c r="F14" s="321">
        <f>E14/D14*100</f>
        <v>91.37456833035664</v>
      </c>
      <c r="G14" s="311" t="s">
        <v>102</v>
      </c>
      <c r="H14" s="293" t="s">
        <v>382</v>
      </c>
      <c r="I14" s="303">
        <f t="shared" si="3"/>
        <v>175518</v>
      </c>
      <c r="J14" s="303">
        <f t="shared" si="3"/>
        <v>201823</v>
      </c>
      <c r="K14" s="303">
        <f t="shared" si="3"/>
        <v>166245</v>
      </c>
      <c r="L14" s="322">
        <f t="shared" si="2"/>
        <v>82.371682117499</v>
      </c>
    </row>
    <row r="15" spans="1:12" ht="12.75">
      <c r="A15" s="311" t="s">
        <v>383</v>
      </c>
      <c r="B15" s="293" t="s">
        <v>384</v>
      </c>
      <c r="C15" s="303">
        <f aca="true" t="shared" si="4" ref="C15:E19">SUM(C58+C100)</f>
        <v>420405</v>
      </c>
      <c r="D15" s="303">
        <f t="shared" si="4"/>
        <v>409389</v>
      </c>
      <c r="E15" s="303">
        <f t="shared" si="4"/>
        <v>415161</v>
      </c>
      <c r="F15" s="322">
        <f>E15/D15*100</f>
        <v>101.40990598184123</v>
      </c>
      <c r="G15" s="311" t="s">
        <v>103</v>
      </c>
      <c r="H15" s="293" t="s">
        <v>385</v>
      </c>
      <c r="I15" s="303">
        <f t="shared" si="3"/>
        <v>370</v>
      </c>
      <c r="J15" s="303">
        <f t="shared" si="3"/>
        <v>216</v>
      </c>
      <c r="K15" s="303">
        <f t="shared" si="3"/>
        <v>252</v>
      </c>
      <c r="L15" s="322">
        <f t="shared" si="2"/>
        <v>116.66666666666667</v>
      </c>
    </row>
    <row r="16" spans="1:12" ht="12.75">
      <c r="A16" s="311" t="s">
        <v>386</v>
      </c>
      <c r="B16" s="293" t="s">
        <v>387</v>
      </c>
      <c r="C16" s="303">
        <f t="shared" si="4"/>
        <v>33037</v>
      </c>
      <c r="D16" s="303">
        <f t="shared" si="4"/>
        <v>85649</v>
      </c>
      <c r="E16" s="303">
        <f t="shared" si="4"/>
        <v>882</v>
      </c>
      <c r="F16" s="322">
        <f>E16/D16*100</f>
        <v>1.0297843524150896</v>
      </c>
      <c r="G16" s="311" t="s">
        <v>104</v>
      </c>
      <c r="H16" s="293" t="s">
        <v>388</v>
      </c>
      <c r="I16" s="303">
        <f t="shared" si="3"/>
        <v>7749</v>
      </c>
      <c r="J16" s="303">
        <f t="shared" si="3"/>
        <v>6709</v>
      </c>
      <c r="K16" s="303">
        <f t="shared" si="3"/>
        <v>6274</v>
      </c>
      <c r="L16" s="322">
        <f t="shared" si="2"/>
        <v>93.51617230585781</v>
      </c>
    </row>
    <row r="17" spans="1:12" ht="12.75">
      <c r="A17" s="311" t="s">
        <v>389</v>
      </c>
      <c r="B17" s="293" t="s">
        <v>390</v>
      </c>
      <c r="C17" s="303">
        <f t="shared" si="4"/>
        <v>151305</v>
      </c>
      <c r="D17" s="303">
        <f t="shared" si="4"/>
        <v>170691</v>
      </c>
      <c r="E17" s="303">
        <f t="shared" si="4"/>
        <v>192264</v>
      </c>
      <c r="F17" s="322">
        <f>E17/D17*100</f>
        <v>112.63862769566057</v>
      </c>
      <c r="G17" s="311"/>
      <c r="H17" s="293"/>
      <c r="I17" s="303"/>
      <c r="J17" s="303"/>
      <c r="K17" s="303"/>
      <c r="L17" s="322"/>
    </row>
    <row r="18" spans="1:12" ht="12.75">
      <c r="A18" s="317" t="s">
        <v>391</v>
      </c>
      <c r="B18" s="317" t="s">
        <v>392</v>
      </c>
      <c r="C18" s="303">
        <f t="shared" si="4"/>
        <v>44546</v>
      </c>
      <c r="D18" s="303">
        <f t="shared" si="4"/>
        <v>68943</v>
      </c>
      <c r="E18" s="303">
        <f t="shared" si="4"/>
        <v>40225</v>
      </c>
      <c r="F18" s="322">
        <f>E18/D18*100</f>
        <v>58.34529974036523</v>
      </c>
      <c r="G18" s="317" t="s">
        <v>197</v>
      </c>
      <c r="H18" s="317" t="s">
        <v>393</v>
      </c>
      <c r="I18" s="303">
        <f>SUM(I61+I103)</f>
        <v>25000</v>
      </c>
      <c r="J18" s="303">
        <f>SUM(J61+J103)</f>
        <v>22253</v>
      </c>
      <c r="K18" s="303">
        <f>SUM(K61+K103)</f>
        <v>62861</v>
      </c>
      <c r="L18" s="322">
        <f t="shared" si="2"/>
        <v>282.4832606839527</v>
      </c>
    </row>
    <row r="19" spans="1:12" ht="12.75">
      <c r="A19" s="317" t="s">
        <v>394</v>
      </c>
      <c r="B19" s="317" t="s">
        <v>395</v>
      </c>
      <c r="C19" s="303">
        <f t="shared" si="4"/>
        <v>0</v>
      </c>
      <c r="D19" s="303">
        <f t="shared" si="4"/>
        <v>2852</v>
      </c>
      <c r="E19" s="303">
        <f t="shared" si="4"/>
        <v>0</v>
      </c>
      <c r="F19" s="322"/>
      <c r="G19" s="317" t="s">
        <v>198</v>
      </c>
      <c r="H19" s="317" t="s">
        <v>396</v>
      </c>
      <c r="I19" s="303">
        <f>SUM(I20:I21)</f>
        <v>0</v>
      </c>
      <c r="J19" s="303">
        <f>SUM(J20:J21)</f>
        <v>0</v>
      </c>
      <c r="K19" s="303">
        <f>SUM(K20:K21)</f>
        <v>5000</v>
      </c>
      <c r="L19" s="322"/>
    </row>
    <row r="20" spans="1:12" ht="12.75">
      <c r="A20" s="311"/>
      <c r="B20" s="293" t="s">
        <v>397</v>
      </c>
      <c r="C20" s="303"/>
      <c r="D20" s="303"/>
      <c r="E20" s="303"/>
      <c r="F20" s="322"/>
      <c r="G20" s="311" t="s">
        <v>100</v>
      </c>
      <c r="H20" s="293" t="s">
        <v>398</v>
      </c>
      <c r="I20" s="303">
        <f aca="true" t="shared" si="5" ref="I20:K21">SUM(I63+I105)</f>
        <v>0</v>
      </c>
      <c r="J20" s="303">
        <f t="shared" si="5"/>
        <v>0</v>
      </c>
      <c r="K20" s="303">
        <f t="shared" si="5"/>
        <v>0</v>
      </c>
      <c r="L20" s="322"/>
    </row>
    <row r="21" spans="1:12" ht="12.75">
      <c r="A21" s="317" t="s">
        <v>399</v>
      </c>
      <c r="B21" s="317" t="s">
        <v>400</v>
      </c>
      <c r="C21" s="320">
        <f aca="true" t="shared" si="6" ref="C21:E22">SUM(C64+C106)</f>
        <v>0</v>
      </c>
      <c r="D21" s="320">
        <f t="shared" si="6"/>
        <v>39582</v>
      </c>
      <c r="E21" s="320">
        <f t="shared" si="6"/>
        <v>0</v>
      </c>
      <c r="F21" s="321">
        <f>E21/D21*100</f>
        <v>0</v>
      </c>
      <c r="G21" s="311" t="s">
        <v>101</v>
      </c>
      <c r="H21" s="293" t="s">
        <v>401</v>
      </c>
      <c r="I21" s="303">
        <f t="shared" si="5"/>
        <v>0</v>
      </c>
      <c r="J21" s="303">
        <f t="shared" si="5"/>
        <v>0</v>
      </c>
      <c r="K21" s="303">
        <f t="shared" si="5"/>
        <v>5000</v>
      </c>
      <c r="L21" s="322"/>
    </row>
    <row r="22" spans="1:12" ht="12.75">
      <c r="A22" s="317" t="s">
        <v>198</v>
      </c>
      <c r="B22" s="317" t="s">
        <v>402</v>
      </c>
      <c r="C22" s="320">
        <f t="shared" si="6"/>
        <v>0</v>
      </c>
      <c r="D22" s="320">
        <f t="shared" si="6"/>
        <v>12222</v>
      </c>
      <c r="E22" s="320">
        <f t="shared" si="6"/>
        <v>186</v>
      </c>
      <c r="F22" s="321">
        <f>E22/D22*100</f>
        <v>1.5218458517427589</v>
      </c>
      <c r="G22" s="311"/>
      <c r="H22" s="293"/>
      <c r="I22" s="303"/>
      <c r="J22" s="303"/>
      <c r="K22" s="303"/>
      <c r="L22" s="322"/>
    </row>
    <row r="23" spans="1:12" ht="12.75">
      <c r="A23" s="311"/>
      <c r="B23" s="301" t="s">
        <v>403</v>
      </c>
      <c r="C23" s="304">
        <f>SUM(C8+C9+C14+C18+C19+C21+C22)</f>
        <v>952345</v>
      </c>
      <c r="D23" s="304">
        <f>SUM(D8+D9+D14+D18+D19+D21+D22)</f>
        <v>1100140</v>
      </c>
      <c r="E23" s="304">
        <f>SUM(E8+E9+E14+E18+E19+E21+E22)</f>
        <v>986737</v>
      </c>
      <c r="F23" s="325">
        <f>E23/D23*100</f>
        <v>89.6919482974894</v>
      </c>
      <c r="G23" s="311"/>
      <c r="H23" s="301" t="s">
        <v>404</v>
      </c>
      <c r="I23" s="304">
        <f>SUM(I7)</f>
        <v>1151473</v>
      </c>
      <c r="J23" s="304">
        <f>SUM(J7)</f>
        <v>1106408</v>
      </c>
      <c r="K23" s="304">
        <f>SUM(K7)</f>
        <v>1150143</v>
      </c>
      <c r="L23" s="326">
        <f>K23/J23*100</f>
        <v>103.95288175790486</v>
      </c>
    </row>
    <row r="24" spans="1:12" ht="12.75">
      <c r="A24" s="311"/>
      <c r="B24" s="327" t="s">
        <v>405</v>
      </c>
      <c r="C24" s="328">
        <f>I25-C23</f>
        <v>199128</v>
      </c>
      <c r="D24" s="328">
        <f>J25-D23</f>
        <v>6268</v>
      </c>
      <c r="E24" s="328">
        <f>K25-E23</f>
        <v>163406</v>
      </c>
      <c r="F24" s="329"/>
      <c r="G24" s="311"/>
      <c r="H24" s="293" t="s">
        <v>406</v>
      </c>
      <c r="I24" s="328">
        <f>SUM(I67,I109)</f>
        <v>0</v>
      </c>
      <c r="J24" s="328">
        <f>SUM(J67,J109)</f>
        <v>0</v>
      </c>
      <c r="K24" s="328">
        <f>SUM(K67,K109)</f>
        <v>0</v>
      </c>
      <c r="L24" s="322"/>
    </row>
    <row r="25" spans="1:12" ht="12.75">
      <c r="A25" s="311"/>
      <c r="B25" s="317" t="s">
        <v>407</v>
      </c>
      <c r="C25" s="303"/>
      <c r="D25" s="303"/>
      <c r="E25" s="303"/>
      <c r="F25" s="322"/>
      <c r="G25" s="311"/>
      <c r="H25" s="301" t="s">
        <v>408</v>
      </c>
      <c r="I25" s="304">
        <f>SUM(I8+I9+I10+I11+I18+I19)</f>
        <v>1151473</v>
      </c>
      <c r="J25" s="304">
        <f>SUM(J8+J9+J10+J11+J18+J19)</f>
        <v>1106408</v>
      </c>
      <c r="K25" s="304">
        <f>SUM(K8+K9+K10+K11+K18+K19)</f>
        <v>1150143</v>
      </c>
      <c r="L25" s="326">
        <f>K25/J25*100</f>
        <v>103.95288175790486</v>
      </c>
    </row>
    <row r="26" spans="1:12" ht="12.75">
      <c r="A26" s="317" t="s">
        <v>409</v>
      </c>
      <c r="B26" s="317" t="s">
        <v>410</v>
      </c>
      <c r="C26" s="303">
        <f aca="true" t="shared" si="7" ref="C26:E29">SUM(C69+C111)</f>
        <v>12030</v>
      </c>
      <c r="D26" s="303">
        <f t="shared" si="7"/>
        <v>26170</v>
      </c>
      <c r="E26" s="303">
        <f t="shared" si="7"/>
        <v>22451</v>
      </c>
      <c r="F26" s="322"/>
      <c r="G26" s="311"/>
      <c r="H26" s="327" t="s">
        <v>411</v>
      </c>
      <c r="I26" s="303"/>
      <c r="J26" s="303"/>
      <c r="K26" s="303"/>
      <c r="L26" s="322"/>
    </row>
    <row r="27" spans="1:12" ht="12.75">
      <c r="A27" s="317" t="s">
        <v>412</v>
      </c>
      <c r="B27" s="317" t="s">
        <v>413</v>
      </c>
      <c r="C27" s="303">
        <f t="shared" si="7"/>
        <v>20194</v>
      </c>
      <c r="D27" s="303">
        <f t="shared" si="7"/>
        <v>22020</v>
      </c>
      <c r="E27" s="303">
        <f t="shared" si="7"/>
        <v>10000</v>
      </c>
      <c r="F27" s="322"/>
      <c r="G27" s="311"/>
      <c r="H27" s="317" t="s">
        <v>94</v>
      </c>
      <c r="I27" s="303"/>
      <c r="J27" s="303"/>
      <c r="K27" s="303"/>
      <c r="L27" s="322"/>
    </row>
    <row r="28" spans="1:12" ht="12.75">
      <c r="A28" s="317" t="s">
        <v>414</v>
      </c>
      <c r="B28" s="317" t="s">
        <v>415</v>
      </c>
      <c r="C28" s="303">
        <f t="shared" si="7"/>
        <v>14096</v>
      </c>
      <c r="D28" s="303">
        <f t="shared" si="7"/>
        <v>14405</v>
      </c>
      <c r="E28" s="303">
        <f t="shared" si="7"/>
        <v>14011</v>
      </c>
      <c r="F28" s="322"/>
      <c r="G28" s="317" t="s">
        <v>194</v>
      </c>
      <c r="H28" s="317" t="s">
        <v>416</v>
      </c>
      <c r="I28" s="303">
        <f>SUM(I71+I113)</f>
        <v>20718</v>
      </c>
      <c r="J28" s="303">
        <f>SUM(J71+J113)</f>
        <v>22771</v>
      </c>
      <c r="K28" s="303">
        <f>SUM(K71+K113)</f>
        <v>26935</v>
      </c>
      <c r="L28" s="322">
        <f aca="true" t="shared" si="8" ref="L28:L36">K28/J28*100</f>
        <v>118.28641693381934</v>
      </c>
    </row>
    <row r="29" spans="1:12" ht="12.75">
      <c r="A29" s="317" t="s">
        <v>417</v>
      </c>
      <c r="B29" s="317" t="s">
        <v>193</v>
      </c>
      <c r="C29" s="303">
        <f t="shared" si="7"/>
        <v>131978</v>
      </c>
      <c r="D29" s="303">
        <f t="shared" si="7"/>
        <v>133900</v>
      </c>
      <c r="E29" s="303">
        <f t="shared" si="7"/>
        <v>6147</v>
      </c>
      <c r="F29" s="322"/>
      <c r="G29" s="317" t="s">
        <v>195</v>
      </c>
      <c r="H29" s="317" t="s">
        <v>377</v>
      </c>
      <c r="I29" s="303">
        <f>SUM(I30:I31)</f>
        <v>0</v>
      </c>
      <c r="J29" s="303">
        <f>SUM(J72+J114)</f>
        <v>939</v>
      </c>
      <c r="K29" s="303">
        <f>SUM(K30:K31)</f>
        <v>0</v>
      </c>
      <c r="L29" s="322">
        <f t="shared" si="8"/>
        <v>0</v>
      </c>
    </row>
    <row r="30" spans="1:12" ht="12.75">
      <c r="A30" s="317" t="s">
        <v>194</v>
      </c>
      <c r="B30" s="317" t="s">
        <v>418</v>
      </c>
      <c r="C30" s="303">
        <f>SUM(C31:C33)</f>
        <v>8579</v>
      </c>
      <c r="D30" s="303">
        <f>SUM(D31:D33)</f>
        <v>10324</v>
      </c>
      <c r="E30" s="303">
        <f>SUM(E31:E33)</f>
        <v>4000</v>
      </c>
      <c r="F30" s="322"/>
      <c r="G30" s="311" t="s">
        <v>100</v>
      </c>
      <c r="H30" s="293" t="s">
        <v>96</v>
      </c>
      <c r="I30" s="303">
        <f>SUM(I73+I115)</f>
        <v>0</v>
      </c>
      <c r="J30" s="303">
        <f>SUM(J73+J115)</f>
        <v>320</v>
      </c>
      <c r="K30" s="303">
        <f>SUM(K73+K115)</f>
        <v>0</v>
      </c>
      <c r="L30" s="322">
        <f t="shared" si="8"/>
        <v>0</v>
      </c>
    </row>
    <row r="31" spans="1:12" ht="12.75">
      <c r="A31" s="311" t="s">
        <v>100</v>
      </c>
      <c r="B31" s="330" t="s">
        <v>419</v>
      </c>
      <c r="C31" s="303">
        <f aca="true" t="shared" si="9" ref="C31:E38">SUM(C74+C116)</f>
        <v>0</v>
      </c>
      <c r="D31" s="303">
        <f t="shared" si="9"/>
        <v>132</v>
      </c>
      <c r="E31" s="303">
        <f t="shared" si="9"/>
        <v>0</v>
      </c>
      <c r="F31" s="322"/>
      <c r="G31" s="311" t="s">
        <v>101</v>
      </c>
      <c r="H31" s="293" t="s">
        <v>420</v>
      </c>
      <c r="I31" s="303">
        <f>SUM(I74+I116)</f>
        <v>0</v>
      </c>
      <c r="J31" s="303">
        <f>SUM(J74+J116)</f>
        <v>619</v>
      </c>
      <c r="K31" s="303">
        <f>SUM(K74+K116)</f>
        <v>0</v>
      </c>
      <c r="L31" s="322">
        <f t="shared" si="8"/>
        <v>0</v>
      </c>
    </row>
    <row r="32" spans="1:12" ht="12.75">
      <c r="A32" s="311" t="s">
        <v>101</v>
      </c>
      <c r="B32" s="330" t="s">
        <v>421</v>
      </c>
      <c r="C32" s="303">
        <f t="shared" si="9"/>
        <v>8089</v>
      </c>
      <c r="D32" s="303">
        <f t="shared" si="9"/>
        <v>10192</v>
      </c>
      <c r="E32" s="303">
        <f t="shared" si="9"/>
        <v>4000</v>
      </c>
      <c r="F32" s="322"/>
      <c r="G32" s="317" t="s">
        <v>196</v>
      </c>
      <c r="H32" s="317" t="s">
        <v>422</v>
      </c>
      <c r="I32" s="303">
        <f>SUM(I33:I35)</f>
        <v>3037665</v>
      </c>
      <c r="J32" s="303">
        <f>SUM(J33:J35)</f>
        <v>230643</v>
      </c>
      <c r="K32" s="303">
        <f>SUM(K33:K35)</f>
        <v>190047</v>
      </c>
      <c r="L32" s="322">
        <f t="shared" si="8"/>
        <v>82.39877212835421</v>
      </c>
    </row>
    <row r="33" spans="1:12" ht="12.75">
      <c r="A33" s="311" t="s">
        <v>102</v>
      </c>
      <c r="B33" s="330" t="s">
        <v>161</v>
      </c>
      <c r="C33" s="303">
        <f t="shared" si="9"/>
        <v>490</v>
      </c>
      <c r="D33" s="303">
        <f t="shared" si="9"/>
        <v>0</v>
      </c>
      <c r="E33" s="303">
        <f t="shared" si="9"/>
        <v>0</v>
      </c>
      <c r="F33" s="322"/>
      <c r="G33" s="311" t="s">
        <v>100</v>
      </c>
      <c r="H33" s="330" t="s">
        <v>117</v>
      </c>
      <c r="I33" s="303">
        <f aca="true" t="shared" si="10" ref="I33:K38">SUM(I76+I118)</f>
        <v>0</v>
      </c>
      <c r="J33" s="303">
        <f t="shared" si="10"/>
        <v>6296</v>
      </c>
      <c r="K33" s="303">
        <f t="shared" si="10"/>
        <v>15875</v>
      </c>
      <c r="L33" s="322">
        <f t="shared" si="8"/>
        <v>252.14421855146125</v>
      </c>
    </row>
    <row r="34" spans="1:12" ht="12.75">
      <c r="A34" s="317" t="s">
        <v>423</v>
      </c>
      <c r="B34" s="317" t="s">
        <v>424</v>
      </c>
      <c r="C34" s="303">
        <f t="shared" si="9"/>
        <v>2616530</v>
      </c>
      <c r="D34" s="303">
        <f t="shared" si="9"/>
        <v>32364</v>
      </c>
      <c r="E34" s="303">
        <f t="shared" si="9"/>
        <v>52835</v>
      </c>
      <c r="F34" s="322"/>
      <c r="G34" s="311" t="s">
        <v>101</v>
      </c>
      <c r="H34" s="330" t="s">
        <v>97</v>
      </c>
      <c r="I34" s="303">
        <f t="shared" si="10"/>
        <v>3037665</v>
      </c>
      <c r="J34" s="303">
        <f t="shared" si="10"/>
        <v>224347</v>
      </c>
      <c r="K34" s="303">
        <f t="shared" si="10"/>
        <v>174172</v>
      </c>
      <c r="L34" s="322">
        <f t="shared" si="8"/>
        <v>77.63509206719948</v>
      </c>
    </row>
    <row r="35" spans="1:12" ht="12.75">
      <c r="A35" s="317" t="s">
        <v>425</v>
      </c>
      <c r="B35" s="317" t="s">
        <v>426</v>
      </c>
      <c r="C35" s="303">
        <f t="shared" si="9"/>
        <v>1000</v>
      </c>
      <c r="D35" s="303">
        <f t="shared" si="9"/>
        <v>911</v>
      </c>
      <c r="E35" s="303">
        <f t="shared" si="9"/>
        <v>1073</v>
      </c>
      <c r="F35" s="322"/>
      <c r="G35" s="311" t="s">
        <v>102</v>
      </c>
      <c r="H35" s="293" t="s">
        <v>163</v>
      </c>
      <c r="I35" s="303">
        <f t="shared" si="10"/>
        <v>0</v>
      </c>
      <c r="J35" s="303">
        <f t="shared" si="10"/>
        <v>0</v>
      </c>
      <c r="K35" s="303">
        <f t="shared" si="10"/>
        <v>0</v>
      </c>
      <c r="L35" s="322"/>
    </row>
    <row r="36" spans="1:12" ht="12.75">
      <c r="A36" s="317" t="s">
        <v>196</v>
      </c>
      <c r="B36" s="317" t="s">
        <v>427</v>
      </c>
      <c r="C36" s="303">
        <f t="shared" si="9"/>
        <v>0</v>
      </c>
      <c r="D36" s="303">
        <f t="shared" si="9"/>
        <v>300000</v>
      </c>
      <c r="E36" s="303"/>
      <c r="F36" s="322"/>
      <c r="G36" s="317" t="s">
        <v>197</v>
      </c>
      <c r="H36" s="317" t="s">
        <v>428</v>
      </c>
      <c r="I36" s="303">
        <f t="shared" si="10"/>
        <v>30064</v>
      </c>
      <c r="J36" s="303">
        <f t="shared" si="10"/>
        <v>31887</v>
      </c>
      <c r="K36" s="303">
        <f t="shared" si="10"/>
        <v>6116</v>
      </c>
      <c r="L36" s="322">
        <f t="shared" si="8"/>
        <v>19.18023018785085</v>
      </c>
    </row>
    <row r="37" spans="1:12" ht="12.75">
      <c r="A37" s="317" t="s">
        <v>197</v>
      </c>
      <c r="B37" s="317" t="s">
        <v>428</v>
      </c>
      <c r="C37" s="303">
        <f t="shared" si="9"/>
        <v>300000</v>
      </c>
      <c r="D37" s="303">
        <f t="shared" si="9"/>
        <v>22583</v>
      </c>
      <c r="E37" s="303">
        <f>SUM(E80+E122)</f>
        <v>0</v>
      </c>
      <c r="F37" s="322">
        <f>E37/D37*100</f>
        <v>0</v>
      </c>
      <c r="G37" s="317" t="s">
        <v>198</v>
      </c>
      <c r="H37" s="317" t="s">
        <v>396</v>
      </c>
      <c r="I37" s="303">
        <f t="shared" si="10"/>
        <v>15960</v>
      </c>
      <c r="J37" s="303">
        <f>SUM(J38)</f>
        <v>0</v>
      </c>
      <c r="K37" s="303">
        <f>SUM(K80+K122)</f>
        <v>0</v>
      </c>
      <c r="L37" s="322"/>
    </row>
    <row r="38" spans="1:12" ht="12.75">
      <c r="A38" s="317" t="s">
        <v>198</v>
      </c>
      <c r="B38" s="317" t="s">
        <v>402</v>
      </c>
      <c r="C38" s="303">
        <f t="shared" si="9"/>
        <v>0</v>
      </c>
      <c r="D38" s="303">
        <f t="shared" si="9"/>
        <v>7052</v>
      </c>
      <c r="E38" s="303">
        <f>SUM(E81+E123)</f>
        <v>112581</v>
      </c>
      <c r="F38" s="322"/>
      <c r="G38" s="311" t="s">
        <v>100</v>
      </c>
      <c r="H38" s="293" t="s">
        <v>398</v>
      </c>
      <c r="I38" s="303">
        <f t="shared" si="10"/>
        <v>15960</v>
      </c>
      <c r="J38" s="303">
        <f>SUM(J81+J123)</f>
        <v>0</v>
      </c>
      <c r="K38" s="303">
        <v>0</v>
      </c>
      <c r="L38" s="322"/>
    </row>
    <row r="39" spans="1:12" ht="12.75">
      <c r="A39" s="311"/>
      <c r="B39" s="301" t="s">
        <v>429</v>
      </c>
      <c r="C39" s="304">
        <f>SUM(C26+C27+C28+C29+C30+C34+C35+C36+C37+C38)</f>
        <v>3104407</v>
      </c>
      <c r="D39" s="304">
        <f>SUM(D26+D27+D28+D29+D30+D34+D35+D36+D38+D37)</f>
        <v>569729</v>
      </c>
      <c r="E39" s="304">
        <f>SUM(E26+E27+E28+E29+E30+E34++E35+E36+E37+E38)</f>
        <v>223098</v>
      </c>
      <c r="F39" s="326">
        <f>E39/D39*100</f>
        <v>39.15861751815336</v>
      </c>
      <c r="G39" s="311"/>
      <c r="H39" s="301" t="s">
        <v>430</v>
      </c>
      <c r="I39" s="304">
        <f>SUM(I28+I29+I32+I36+I37)</f>
        <v>3104407</v>
      </c>
      <c r="J39" s="304">
        <f>SUM(J28+J29+J32+J36+J37)</f>
        <v>286240</v>
      </c>
      <c r="K39" s="304">
        <f>SUM(K28+K29+K32+K36+K37)</f>
        <v>223098</v>
      </c>
      <c r="L39" s="326">
        <f>K39/J39*100</f>
        <v>77.940888764673</v>
      </c>
    </row>
    <row r="40" spans="1:12" ht="12.75">
      <c r="A40" s="311"/>
      <c r="B40" s="301" t="s">
        <v>431</v>
      </c>
      <c r="C40" s="304">
        <f>SUM(C23,C39)</f>
        <v>4056752</v>
      </c>
      <c r="D40" s="304">
        <f>SUM(D23,D39)</f>
        <v>1669869</v>
      </c>
      <c r="E40" s="304">
        <f>SUM(E23,E39)</f>
        <v>1209835</v>
      </c>
      <c r="F40" s="326">
        <f>E40/D40*100</f>
        <v>72.45089285446942</v>
      </c>
      <c r="G40" s="311"/>
      <c r="H40" s="301" t="s">
        <v>432</v>
      </c>
      <c r="I40" s="304">
        <f>SUM(I25,I39)</f>
        <v>4255880</v>
      </c>
      <c r="J40" s="304">
        <f>SUM(J25,J39)</f>
        <v>1392648</v>
      </c>
      <c r="K40" s="304">
        <f>SUM(K25,K39)</f>
        <v>1373241</v>
      </c>
      <c r="L40" s="326">
        <f>K40/J40*100</f>
        <v>98.60646767883917</v>
      </c>
    </row>
    <row r="41" spans="1:12" ht="12.75">
      <c r="A41" s="311"/>
      <c r="B41" s="327" t="s">
        <v>433</v>
      </c>
      <c r="C41" s="328">
        <f>I39-C39</f>
        <v>0</v>
      </c>
      <c r="D41" s="328"/>
      <c r="E41" s="328"/>
      <c r="F41" s="331"/>
      <c r="G41" s="311"/>
      <c r="H41" s="293" t="s">
        <v>434</v>
      </c>
      <c r="I41" s="303">
        <f>C39-I39</f>
        <v>0</v>
      </c>
      <c r="J41" s="303">
        <f>D39-J39</f>
        <v>283489</v>
      </c>
      <c r="K41" s="303">
        <f>E39-K39</f>
        <v>0</v>
      </c>
      <c r="L41" s="322"/>
    </row>
    <row r="42" spans="1:12" ht="13.5">
      <c r="A42" s="311"/>
      <c r="B42" s="332" t="s">
        <v>435</v>
      </c>
      <c r="C42" s="333">
        <f>SUM(C41+C24)</f>
        <v>199128</v>
      </c>
      <c r="D42" s="333">
        <f>SUM(D41+D24)</f>
        <v>6268</v>
      </c>
      <c r="E42" s="333">
        <f>SUM(E41+E24)</f>
        <v>163406</v>
      </c>
      <c r="F42" s="334"/>
      <c r="G42" s="311"/>
      <c r="H42" s="332" t="s">
        <v>436</v>
      </c>
      <c r="I42" s="303">
        <f>SUM(I24,I41)</f>
        <v>0</v>
      </c>
      <c r="J42" s="303">
        <f>SUM(J24,J41)</f>
        <v>283489</v>
      </c>
      <c r="K42" s="320">
        <f>SUM(K24,K41)</f>
        <v>0</v>
      </c>
      <c r="L42" s="322"/>
    </row>
    <row r="43" spans="1:12" ht="12.75">
      <c r="A43" s="311"/>
      <c r="B43" s="301" t="s">
        <v>437</v>
      </c>
      <c r="C43" s="304">
        <f>SUM(C40+C42)</f>
        <v>4255880</v>
      </c>
      <c r="D43" s="304">
        <f>SUM(D40+D42)</f>
        <v>1676137</v>
      </c>
      <c r="E43" s="304">
        <f>SUM(E40+E42)</f>
        <v>1373241</v>
      </c>
      <c r="F43" s="326">
        <f>E43/D43*100</f>
        <v>81.92892347105278</v>
      </c>
      <c r="G43" s="311"/>
      <c r="H43" s="301" t="s">
        <v>438</v>
      </c>
      <c r="I43" s="304">
        <f>SUM(I40,I42)</f>
        <v>4255880</v>
      </c>
      <c r="J43" s="304">
        <f>SUM(J40,J42)</f>
        <v>1676137</v>
      </c>
      <c r="K43" s="304">
        <f>SUM(K40,K42)</f>
        <v>1373241</v>
      </c>
      <c r="L43" s="326">
        <f>K43/J43*100</f>
        <v>81.92892347105278</v>
      </c>
    </row>
    <row r="44" spans="1:12" ht="12.75">
      <c r="A44" s="564" t="s">
        <v>439</v>
      </c>
      <c r="B44" s="564"/>
      <c r="C44" s="564"/>
      <c r="D44" s="564"/>
      <c r="E44" s="564"/>
      <c r="F44" s="564"/>
      <c r="G44" s="564"/>
      <c r="H44" s="564"/>
      <c r="I44" s="564"/>
      <c r="J44" s="564"/>
      <c r="K44" s="564"/>
      <c r="L44" s="564"/>
    </row>
    <row r="45" spans="1:12" ht="12.75">
      <c r="A45" s="564"/>
      <c r="B45" s="564"/>
      <c r="C45" s="564"/>
      <c r="D45" s="564"/>
      <c r="E45" s="564"/>
      <c r="F45" s="564"/>
      <c r="G45" s="564"/>
      <c r="H45" s="564"/>
      <c r="I45" s="564"/>
      <c r="J45" s="564"/>
      <c r="K45" s="564"/>
      <c r="L45" s="564"/>
    </row>
    <row r="46" spans="1:12" ht="15.75">
      <c r="A46" s="315" t="s">
        <v>440</v>
      </c>
      <c r="I46" s="565" t="s">
        <v>364</v>
      </c>
      <c r="J46" s="566"/>
      <c r="K46" s="566"/>
      <c r="L46" s="566"/>
    </row>
    <row r="47" spans="1:12" ht="12.75">
      <c r="A47" s="567" t="s">
        <v>365</v>
      </c>
      <c r="B47" s="569" t="s">
        <v>142</v>
      </c>
      <c r="C47" s="571" t="s">
        <v>366</v>
      </c>
      <c r="D47" s="571" t="s">
        <v>367</v>
      </c>
      <c r="E47" s="571" t="s">
        <v>155</v>
      </c>
      <c r="F47" s="559" t="s">
        <v>368</v>
      </c>
      <c r="G47" s="567" t="s">
        <v>365</v>
      </c>
      <c r="H47" s="569" t="s">
        <v>369</v>
      </c>
      <c r="I47" s="571" t="s">
        <v>366</v>
      </c>
      <c r="J47" s="571" t="s">
        <v>367</v>
      </c>
      <c r="K47" s="571" t="s">
        <v>155</v>
      </c>
      <c r="L47" s="554" t="s">
        <v>368</v>
      </c>
    </row>
    <row r="48" spans="1:12" ht="12.75">
      <c r="A48" s="567"/>
      <c r="B48" s="569"/>
      <c r="C48" s="572"/>
      <c r="D48" s="572"/>
      <c r="E48" s="572"/>
      <c r="F48" s="560"/>
      <c r="G48" s="567"/>
      <c r="H48" s="569"/>
      <c r="I48" s="572"/>
      <c r="J48" s="572"/>
      <c r="K48" s="572"/>
      <c r="L48" s="555"/>
    </row>
    <row r="49" spans="1:12" ht="12.75">
      <c r="A49" s="568"/>
      <c r="B49" s="570"/>
      <c r="C49" s="573"/>
      <c r="D49" s="573"/>
      <c r="E49" s="573"/>
      <c r="F49" s="553"/>
      <c r="G49" s="568"/>
      <c r="H49" s="570"/>
      <c r="I49" s="573"/>
      <c r="J49" s="573"/>
      <c r="K49" s="573"/>
      <c r="L49" s="556"/>
    </row>
    <row r="50" spans="1:12" ht="12.75">
      <c r="A50" s="317" t="s">
        <v>88</v>
      </c>
      <c r="B50" s="317" t="s">
        <v>185</v>
      </c>
      <c r="C50" s="318"/>
      <c r="D50" s="318"/>
      <c r="E50" s="318"/>
      <c r="F50" s="317"/>
      <c r="G50" s="317"/>
      <c r="H50" s="317" t="s">
        <v>91</v>
      </c>
      <c r="I50" s="318">
        <f>SUM(I51:I53,I54,I61,I62)</f>
        <v>1555</v>
      </c>
      <c r="J50" s="318">
        <f>SUM(J51:J53,J54,J61,J62)</f>
        <v>1526</v>
      </c>
      <c r="K50" s="318">
        <f>SUM(K51:K53,K54,K61,K62)</f>
        <v>1568</v>
      </c>
      <c r="L50" s="319">
        <f aca="true" t="shared" si="11" ref="L50:L55">K50/J50*100</f>
        <v>102.75229357798166</v>
      </c>
    </row>
    <row r="51" spans="1:12" ht="12.75">
      <c r="A51" s="311" t="s">
        <v>100</v>
      </c>
      <c r="B51" s="296" t="s">
        <v>370</v>
      </c>
      <c r="C51" s="320">
        <v>0</v>
      </c>
      <c r="D51" s="320">
        <v>0</v>
      </c>
      <c r="E51" s="320">
        <v>0</v>
      </c>
      <c r="F51" s="321"/>
      <c r="G51" s="317" t="s">
        <v>88</v>
      </c>
      <c r="H51" s="317" t="s">
        <v>92</v>
      </c>
      <c r="I51" s="303">
        <v>300</v>
      </c>
      <c r="J51" s="303">
        <v>410</v>
      </c>
      <c r="K51" s="303">
        <v>600</v>
      </c>
      <c r="L51" s="322">
        <f t="shared" si="11"/>
        <v>146.34146341463415</v>
      </c>
    </row>
    <row r="52" spans="1:12" ht="12.75">
      <c r="A52" s="311" t="s">
        <v>101</v>
      </c>
      <c r="B52" s="296" t="s">
        <v>371</v>
      </c>
      <c r="C52" s="320">
        <v>0</v>
      </c>
      <c r="D52" s="320">
        <v>0</v>
      </c>
      <c r="E52" s="320">
        <v>0</v>
      </c>
      <c r="F52" s="321"/>
      <c r="G52" s="317" t="s">
        <v>372</v>
      </c>
      <c r="H52" s="317" t="s">
        <v>93</v>
      </c>
      <c r="I52" s="303">
        <v>116</v>
      </c>
      <c r="J52" s="303">
        <v>47</v>
      </c>
      <c r="K52" s="303">
        <v>100</v>
      </c>
      <c r="L52" s="322">
        <f t="shared" si="11"/>
        <v>212.7659574468085</v>
      </c>
    </row>
    <row r="53" spans="1:12" ht="12.75">
      <c r="A53" s="323" t="s">
        <v>373</v>
      </c>
      <c r="B53" s="293" t="s">
        <v>374</v>
      </c>
      <c r="C53" s="303">
        <v>0</v>
      </c>
      <c r="D53" s="303">
        <v>0</v>
      </c>
      <c r="E53" s="303">
        <v>0</v>
      </c>
      <c r="F53" s="322"/>
      <c r="G53" s="317" t="s">
        <v>194</v>
      </c>
      <c r="H53" s="317" t="s">
        <v>269</v>
      </c>
      <c r="I53" s="303">
        <v>1139</v>
      </c>
      <c r="J53" s="303">
        <v>776</v>
      </c>
      <c r="K53" s="303">
        <v>330</v>
      </c>
      <c r="L53" s="322">
        <f t="shared" si="11"/>
        <v>42.52577319587629</v>
      </c>
    </row>
    <row r="54" spans="1:12" ht="12.75">
      <c r="A54" s="323" t="s">
        <v>375</v>
      </c>
      <c r="B54" s="293" t="s">
        <v>376</v>
      </c>
      <c r="C54" s="303"/>
      <c r="D54" s="303"/>
      <c r="E54" s="303"/>
      <c r="F54" s="322"/>
      <c r="G54" s="317" t="s">
        <v>195</v>
      </c>
      <c r="H54" s="317" t="s">
        <v>377</v>
      </c>
      <c r="I54" s="303">
        <f>SUM(I55:I59)</f>
        <v>0</v>
      </c>
      <c r="J54" s="303">
        <f>SUM(J55:J59)</f>
        <v>293</v>
      </c>
      <c r="K54" s="303">
        <f>SUM(K55:K59)</f>
        <v>538</v>
      </c>
      <c r="L54" s="322">
        <f t="shared" si="11"/>
        <v>183.61774744027304</v>
      </c>
    </row>
    <row r="55" spans="1:12" ht="12.75">
      <c r="A55" s="323" t="s">
        <v>378</v>
      </c>
      <c r="B55" s="293" t="s">
        <v>379</v>
      </c>
      <c r="C55" s="303"/>
      <c r="D55" s="303"/>
      <c r="E55" s="303"/>
      <c r="F55" s="322"/>
      <c r="G55" s="311" t="s">
        <v>100</v>
      </c>
      <c r="H55" s="293" t="s">
        <v>96</v>
      </c>
      <c r="I55" s="303">
        <v>0</v>
      </c>
      <c r="J55" s="303">
        <v>78</v>
      </c>
      <c r="K55" s="303">
        <v>320</v>
      </c>
      <c r="L55" s="322">
        <f t="shared" si="11"/>
        <v>410.2564102564102</v>
      </c>
    </row>
    <row r="56" spans="1:12" ht="12.75">
      <c r="A56" s="324" t="s">
        <v>192</v>
      </c>
      <c r="B56" s="317" t="s">
        <v>186</v>
      </c>
      <c r="C56" s="303"/>
      <c r="D56" s="303"/>
      <c r="E56" s="303"/>
      <c r="F56" s="322"/>
      <c r="G56" s="311" t="s">
        <v>101</v>
      </c>
      <c r="H56" s="293" t="s">
        <v>380</v>
      </c>
      <c r="I56" s="303">
        <v>0</v>
      </c>
      <c r="J56" s="303">
        <v>0</v>
      </c>
      <c r="K56" s="303">
        <v>0</v>
      </c>
      <c r="L56" s="322"/>
    </row>
    <row r="57" spans="1:12" ht="12.75">
      <c r="A57" s="311" t="s">
        <v>100</v>
      </c>
      <c r="B57" s="296" t="s">
        <v>381</v>
      </c>
      <c r="C57" s="320">
        <f>SUM(C58:C60)</f>
        <v>555</v>
      </c>
      <c r="D57" s="320">
        <f>SUM(D58:D60)</f>
        <v>555</v>
      </c>
      <c r="E57" s="320">
        <f>SUM(E58:E60)</f>
        <v>882</v>
      </c>
      <c r="F57" s="321">
        <f>E57/D57*100</f>
        <v>158.9189189189189</v>
      </c>
      <c r="G57" s="311" t="s">
        <v>102</v>
      </c>
      <c r="H57" s="293" t="s">
        <v>382</v>
      </c>
      <c r="I57" s="303">
        <v>0</v>
      </c>
      <c r="J57" s="303">
        <v>0</v>
      </c>
      <c r="K57" s="303">
        <v>0</v>
      </c>
      <c r="L57" s="322"/>
    </row>
    <row r="58" spans="1:12" ht="12.75">
      <c r="A58" s="311" t="s">
        <v>383</v>
      </c>
      <c r="B58" s="293" t="s">
        <v>384</v>
      </c>
      <c r="C58" s="303">
        <v>0</v>
      </c>
      <c r="D58" s="303">
        <v>0</v>
      </c>
      <c r="E58" s="303">
        <v>0</v>
      </c>
      <c r="F58" s="322"/>
      <c r="G58" s="311" t="s">
        <v>103</v>
      </c>
      <c r="H58" s="293" t="s">
        <v>385</v>
      </c>
      <c r="I58" s="303">
        <v>0</v>
      </c>
      <c r="J58" s="303">
        <v>0</v>
      </c>
      <c r="K58" s="303">
        <v>0</v>
      </c>
      <c r="L58" s="322"/>
    </row>
    <row r="59" spans="1:12" ht="12.75">
      <c r="A59" s="311" t="s">
        <v>386</v>
      </c>
      <c r="B59" s="293" t="s">
        <v>387</v>
      </c>
      <c r="C59" s="303">
        <v>555</v>
      </c>
      <c r="D59" s="303">
        <v>555</v>
      </c>
      <c r="E59" s="303">
        <v>882</v>
      </c>
      <c r="F59" s="322">
        <f>E59/D59*100</f>
        <v>158.9189189189189</v>
      </c>
      <c r="G59" s="311" t="s">
        <v>104</v>
      </c>
      <c r="H59" s="293" t="s">
        <v>388</v>
      </c>
      <c r="I59" s="303">
        <v>0</v>
      </c>
      <c r="J59" s="303">
        <v>215</v>
      </c>
      <c r="K59" s="303">
        <v>218</v>
      </c>
      <c r="L59" s="322">
        <f>K59/J59*100</f>
        <v>101.39534883720931</v>
      </c>
    </row>
    <row r="60" spans="1:12" ht="12.75">
      <c r="A60" s="311" t="s">
        <v>389</v>
      </c>
      <c r="B60" s="293" t="s">
        <v>390</v>
      </c>
      <c r="C60" s="303">
        <v>0</v>
      </c>
      <c r="D60" s="303">
        <v>0</v>
      </c>
      <c r="E60" s="303">
        <v>0</v>
      </c>
      <c r="F60" s="322"/>
      <c r="G60" s="311"/>
      <c r="H60" s="293"/>
      <c r="I60" s="303"/>
      <c r="J60" s="303"/>
      <c r="K60" s="303"/>
      <c r="L60" s="322"/>
    </row>
    <row r="61" spans="1:12" ht="12.75">
      <c r="A61" s="317" t="s">
        <v>391</v>
      </c>
      <c r="B61" s="317" t="s">
        <v>392</v>
      </c>
      <c r="C61" s="303">
        <v>1000</v>
      </c>
      <c r="D61" s="303">
        <v>1000</v>
      </c>
      <c r="E61" s="303">
        <v>500</v>
      </c>
      <c r="F61" s="322">
        <f>E61/D61*100</f>
        <v>50</v>
      </c>
      <c r="G61" s="317" t="s">
        <v>197</v>
      </c>
      <c r="H61" s="317" t="s">
        <v>393</v>
      </c>
      <c r="I61" s="303"/>
      <c r="J61" s="303"/>
      <c r="K61" s="303"/>
      <c r="L61" s="322"/>
    </row>
    <row r="62" spans="1:12" ht="12.75">
      <c r="A62" s="317" t="s">
        <v>394</v>
      </c>
      <c r="B62" s="317" t="s">
        <v>395</v>
      </c>
      <c r="C62" s="303"/>
      <c r="D62" s="303"/>
      <c r="E62" s="303"/>
      <c r="F62" s="322"/>
      <c r="G62" s="317" t="s">
        <v>198</v>
      </c>
      <c r="H62" s="317" t="s">
        <v>396</v>
      </c>
      <c r="I62" s="303"/>
      <c r="J62" s="303"/>
      <c r="K62" s="303"/>
      <c r="L62" s="322"/>
    </row>
    <row r="63" spans="1:12" ht="12.75">
      <c r="A63" s="311"/>
      <c r="B63" s="293" t="s">
        <v>397</v>
      </c>
      <c r="C63" s="303"/>
      <c r="D63" s="303"/>
      <c r="E63" s="303"/>
      <c r="F63" s="322"/>
      <c r="G63" s="311" t="s">
        <v>100</v>
      </c>
      <c r="H63" s="293" t="s">
        <v>398</v>
      </c>
      <c r="I63" s="303"/>
      <c r="J63" s="303"/>
      <c r="K63" s="303"/>
      <c r="L63" s="322"/>
    </row>
    <row r="64" spans="1:12" ht="12.75">
      <c r="A64" s="317" t="s">
        <v>399</v>
      </c>
      <c r="B64" s="317" t="s">
        <v>400</v>
      </c>
      <c r="C64" s="320"/>
      <c r="D64" s="320"/>
      <c r="E64" s="320">
        <v>0</v>
      </c>
      <c r="F64" s="321"/>
      <c r="G64" s="311" t="s">
        <v>101</v>
      </c>
      <c r="H64" s="293" t="s">
        <v>401</v>
      </c>
      <c r="I64" s="303"/>
      <c r="J64" s="303"/>
      <c r="K64" s="303"/>
      <c r="L64" s="322"/>
    </row>
    <row r="65" spans="1:12" ht="12.75">
      <c r="A65" s="317" t="s">
        <v>198</v>
      </c>
      <c r="B65" s="317" t="s">
        <v>402</v>
      </c>
      <c r="C65" s="303"/>
      <c r="D65" s="303"/>
      <c r="E65" s="303">
        <v>186</v>
      </c>
      <c r="F65" s="322"/>
      <c r="G65" s="311"/>
      <c r="H65" s="293"/>
      <c r="I65" s="303">
        <v>0</v>
      </c>
      <c r="J65" s="303"/>
      <c r="K65" s="303"/>
      <c r="L65" s="322"/>
    </row>
    <row r="66" spans="1:12" ht="12.75">
      <c r="A66" s="311"/>
      <c r="B66" s="301" t="s">
        <v>403</v>
      </c>
      <c r="C66" s="304">
        <f>SUM(C51+C52+C57+C61+C62+C64+C65)</f>
        <v>1555</v>
      </c>
      <c r="D66" s="304">
        <f>SUM(D51+D52+D57+D61+D62+D64+D65)</f>
        <v>1555</v>
      </c>
      <c r="E66" s="304">
        <f>SUM(E51+E52+E57+E61+E62+E64+E65)</f>
        <v>1568</v>
      </c>
      <c r="F66" s="325">
        <f>E66/D66*100</f>
        <v>100.83601286173634</v>
      </c>
      <c r="G66" s="311"/>
      <c r="H66" s="301" t="s">
        <v>404</v>
      </c>
      <c r="I66" s="304">
        <f>SUM(I50)</f>
        <v>1555</v>
      </c>
      <c r="J66" s="304">
        <f>SUM(J50)</f>
        <v>1526</v>
      </c>
      <c r="K66" s="304">
        <f>SUM(K50)</f>
        <v>1568</v>
      </c>
      <c r="L66" s="326">
        <f>K66/J66*100</f>
        <v>102.75229357798166</v>
      </c>
    </row>
    <row r="67" spans="1:12" ht="12.75">
      <c r="A67" s="311"/>
      <c r="B67" s="327" t="s">
        <v>405</v>
      </c>
      <c r="C67" s="328"/>
      <c r="D67" s="328"/>
      <c r="E67" s="328"/>
      <c r="F67" s="329"/>
      <c r="G67" s="311"/>
      <c r="H67" s="293" t="s">
        <v>406</v>
      </c>
      <c r="I67" s="328"/>
      <c r="J67" s="328"/>
      <c r="K67" s="328"/>
      <c r="L67" s="322"/>
    </row>
    <row r="68" spans="1:12" ht="12.75">
      <c r="A68" s="311"/>
      <c r="B68" s="317" t="s">
        <v>407</v>
      </c>
      <c r="C68" s="303"/>
      <c r="D68" s="303"/>
      <c r="E68" s="303"/>
      <c r="F68" s="322"/>
      <c r="G68" s="311"/>
      <c r="H68" s="301" t="s">
        <v>408</v>
      </c>
      <c r="I68" s="304">
        <f>SUM(I51:I54)</f>
        <v>1555</v>
      </c>
      <c r="J68" s="304">
        <f>SUM(J51:J54)</f>
        <v>1526</v>
      </c>
      <c r="K68" s="304">
        <f>SUM(K51:K54)</f>
        <v>1568</v>
      </c>
      <c r="L68" s="326">
        <f>K68/J68*100</f>
        <v>102.75229357798166</v>
      </c>
    </row>
    <row r="69" spans="1:12" ht="12.75">
      <c r="A69" s="317" t="s">
        <v>409</v>
      </c>
      <c r="B69" s="317" t="s">
        <v>410</v>
      </c>
      <c r="C69" s="303"/>
      <c r="D69" s="303"/>
      <c r="E69" s="303"/>
      <c r="F69" s="322"/>
      <c r="G69" s="311"/>
      <c r="H69" s="327" t="s">
        <v>411</v>
      </c>
      <c r="I69" s="303">
        <f>C66-I68</f>
        <v>0</v>
      </c>
      <c r="J69" s="303">
        <f>D66-J68</f>
        <v>29</v>
      </c>
      <c r="K69" s="303">
        <f>E66-K68</f>
        <v>0</v>
      </c>
      <c r="L69" s="322"/>
    </row>
    <row r="70" spans="1:12" ht="12.75">
      <c r="A70" s="317" t="s">
        <v>412</v>
      </c>
      <c r="B70" s="317" t="s">
        <v>413</v>
      </c>
      <c r="C70" s="303"/>
      <c r="D70" s="303"/>
      <c r="E70" s="303"/>
      <c r="F70" s="322"/>
      <c r="G70" s="311"/>
      <c r="H70" s="317" t="s">
        <v>94</v>
      </c>
      <c r="I70" s="303"/>
      <c r="J70" s="303"/>
      <c r="K70" s="303"/>
      <c r="L70" s="322"/>
    </row>
    <row r="71" spans="1:12" ht="12.75">
      <c r="A71" s="317" t="s">
        <v>414</v>
      </c>
      <c r="B71" s="317" t="s">
        <v>415</v>
      </c>
      <c r="C71" s="303"/>
      <c r="D71" s="303"/>
      <c r="E71" s="303"/>
      <c r="F71" s="322"/>
      <c r="G71" s="317" t="s">
        <v>194</v>
      </c>
      <c r="H71" s="317" t="s">
        <v>416</v>
      </c>
      <c r="I71" s="303"/>
      <c r="J71" s="303"/>
      <c r="K71" s="303"/>
      <c r="L71" s="322"/>
    </row>
    <row r="72" spans="1:12" ht="12.75">
      <c r="A72" s="317" t="s">
        <v>417</v>
      </c>
      <c r="B72" s="317" t="s">
        <v>193</v>
      </c>
      <c r="C72" s="303"/>
      <c r="D72" s="303"/>
      <c r="E72" s="303"/>
      <c r="F72" s="322"/>
      <c r="G72" s="317" t="s">
        <v>195</v>
      </c>
      <c r="H72" s="317" t="s">
        <v>377</v>
      </c>
      <c r="I72" s="303"/>
      <c r="J72" s="303"/>
      <c r="K72" s="303"/>
      <c r="L72" s="322"/>
    </row>
    <row r="73" spans="1:12" ht="12.75">
      <c r="A73" s="317" t="s">
        <v>194</v>
      </c>
      <c r="B73" s="317" t="s">
        <v>418</v>
      </c>
      <c r="C73" s="303"/>
      <c r="D73" s="303"/>
      <c r="E73" s="303"/>
      <c r="F73" s="322"/>
      <c r="G73" s="311" t="s">
        <v>100</v>
      </c>
      <c r="H73" s="293" t="s">
        <v>96</v>
      </c>
      <c r="I73" s="303"/>
      <c r="J73" s="303"/>
      <c r="K73" s="303"/>
      <c r="L73" s="322"/>
    </row>
    <row r="74" spans="1:12" ht="12.75">
      <c r="A74" s="311" t="s">
        <v>100</v>
      </c>
      <c r="B74" s="330" t="s">
        <v>419</v>
      </c>
      <c r="C74" s="303"/>
      <c r="D74" s="303"/>
      <c r="E74" s="303"/>
      <c r="F74" s="322"/>
      <c r="G74" s="311" t="s">
        <v>101</v>
      </c>
      <c r="H74" s="293" t="s">
        <v>420</v>
      </c>
      <c r="I74" s="303"/>
      <c r="J74" s="303"/>
      <c r="K74" s="303"/>
      <c r="L74" s="322"/>
    </row>
    <row r="75" spans="1:12" ht="12.75">
      <c r="A75" s="311" t="s">
        <v>101</v>
      </c>
      <c r="B75" s="330" t="s">
        <v>421</v>
      </c>
      <c r="C75" s="303"/>
      <c r="D75" s="303"/>
      <c r="E75" s="303"/>
      <c r="F75" s="322"/>
      <c r="G75" s="317" t="s">
        <v>196</v>
      </c>
      <c r="H75" s="317" t="s">
        <v>422</v>
      </c>
      <c r="I75" s="303"/>
      <c r="J75" s="303"/>
      <c r="K75" s="303"/>
      <c r="L75" s="322"/>
    </row>
    <row r="76" spans="1:12" ht="12.75">
      <c r="A76" s="311" t="s">
        <v>102</v>
      </c>
      <c r="B76" s="330" t="s">
        <v>161</v>
      </c>
      <c r="C76" s="303"/>
      <c r="D76" s="303"/>
      <c r="E76" s="303"/>
      <c r="F76" s="322"/>
      <c r="G76" s="311" t="s">
        <v>100</v>
      </c>
      <c r="H76" s="330" t="s">
        <v>117</v>
      </c>
      <c r="I76" s="303"/>
      <c r="J76" s="303"/>
      <c r="K76" s="303"/>
      <c r="L76" s="322"/>
    </row>
    <row r="77" spans="1:12" ht="12.75">
      <c r="A77" s="317" t="s">
        <v>423</v>
      </c>
      <c r="B77" s="317" t="s">
        <v>424</v>
      </c>
      <c r="C77" s="303"/>
      <c r="D77" s="303"/>
      <c r="E77" s="303"/>
      <c r="F77" s="322"/>
      <c r="G77" s="311" t="s">
        <v>101</v>
      </c>
      <c r="H77" s="330" t="s">
        <v>97</v>
      </c>
      <c r="I77" s="303"/>
      <c r="J77" s="303"/>
      <c r="K77" s="303"/>
      <c r="L77" s="322"/>
    </row>
    <row r="78" spans="1:12" ht="12.75">
      <c r="A78" s="317" t="s">
        <v>425</v>
      </c>
      <c r="B78" s="317" t="s">
        <v>426</v>
      </c>
      <c r="C78" s="303"/>
      <c r="D78" s="303"/>
      <c r="E78" s="303"/>
      <c r="F78" s="322"/>
      <c r="G78" s="311" t="s">
        <v>102</v>
      </c>
      <c r="H78" s="293" t="s">
        <v>163</v>
      </c>
      <c r="I78" s="303"/>
      <c r="J78" s="303"/>
      <c r="K78" s="303"/>
      <c r="L78" s="322"/>
    </row>
    <row r="79" spans="1:12" ht="12.75">
      <c r="A79" s="317" t="s">
        <v>196</v>
      </c>
      <c r="B79" s="317" t="s">
        <v>427</v>
      </c>
      <c r="C79" s="303"/>
      <c r="D79" s="303"/>
      <c r="E79" s="303"/>
      <c r="F79" s="322"/>
      <c r="G79" s="317" t="s">
        <v>197</v>
      </c>
      <c r="H79" s="317" t="s">
        <v>428</v>
      </c>
      <c r="I79" s="303"/>
      <c r="J79" s="303"/>
      <c r="K79" s="303"/>
      <c r="L79" s="322"/>
    </row>
    <row r="80" spans="1:12" ht="12.75">
      <c r="A80" s="317" t="s">
        <v>197</v>
      </c>
      <c r="B80" s="317" t="s">
        <v>428</v>
      </c>
      <c r="C80" s="303"/>
      <c r="D80" s="303"/>
      <c r="E80" s="303"/>
      <c r="F80" s="322"/>
      <c r="G80" s="317" t="s">
        <v>198</v>
      </c>
      <c r="H80" s="317" t="s">
        <v>396</v>
      </c>
      <c r="I80" s="303"/>
      <c r="J80" s="303"/>
      <c r="K80" s="303"/>
      <c r="L80" s="322"/>
    </row>
    <row r="81" spans="1:12" ht="12.75">
      <c r="A81" s="317" t="s">
        <v>198</v>
      </c>
      <c r="B81" s="317" t="s">
        <v>402</v>
      </c>
      <c r="C81" s="303"/>
      <c r="D81" s="303"/>
      <c r="E81" s="303"/>
      <c r="F81" s="322"/>
      <c r="G81" s="311" t="s">
        <v>100</v>
      </c>
      <c r="H81" s="293" t="s">
        <v>398</v>
      </c>
      <c r="I81" s="303"/>
      <c r="J81" s="303"/>
      <c r="K81" s="303"/>
      <c r="L81" s="322"/>
    </row>
    <row r="82" spans="1:12" ht="12.75">
      <c r="A82" s="311"/>
      <c r="B82" s="301" t="s">
        <v>429</v>
      </c>
      <c r="C82" s="304">
        <f>SUM(C79:C81)</f>
        <v>0</v>
      </c>
      <c r="D82" s="304">
        <f>SUM(D79:D81)</f>
        <v>0</v>
      </c>
      <c r="E82" s="304">
        <f>SUM(E79:E81)</f>
        <v>0</v>
      </c>
      <c r="F82" s="326"/>
      <c r="G82" s="311" t="s">
        <v>441</v>
      </c>
      <c r="H82" s="301" t="s">
        <v>430</v>
      </c>
      <c r="I82" s="304">
        <f>SUM(I79:I81)</f>
        <v>0</v>
      </c>
      <c r="J82" s="304">
        <f>SUM(J79:J81)</f>
        <v>0</v>
      </c>
      <c r="K82" s="304">
        <f>SUM(K79:K81)</f>
        <v>0</v>
      </c>
      <c r="L82" s="326"/>
    </row>
    <row r="83" spans="1:12" ht="12.75">
      <c r="A83" s="311"/>
      <c r="B83" s="327" t="s">
        <v>433</v>
      </c>
      <c r="C83" s="328"/>
      <c r="D83" s="328">
        <f>J82-D82</f>
        <v>0</v>
      </c>
      <c r="E83" s="328"/>
      <c r="F83" s="331"/>
      <c r="G83" s="311" t="s">
        <v>442</v>
      </c>
      <c r="H83" s="293" t="s">
        <v>434</v>
      </c>
      <c r="I83" s="303"/>
      <c r="J83" s="303"/>
      <c r="K83" s="303">
        <f>E82-K82</f>
        <v>0</v>
      </c>
      <c r="L83" s="322"/>
    </row>
    <row r="84" spans="1:12" ht="13.5">
      <c r="A84" s="311"/>
      <c r="B84" s="332" t="s">
        <v>435</v>
      </c>
      <c r="C84" s="333">
        <f>SUM(C83+C67)</f>
        <v>0</v>
      </c>
      <c r="D84" s="333">
        <f>SUM(D83+D67)</f>
        <v>0</v>
      </c>
      <c r="E84" s="333">
        <f>SUM(E83+E67)</f>
        <v>0</v>
      </c>
      <c r="F84" s="334"/>
      <c r="G84" s="311" t="s">
        <v>443</v>
      </c>
      <c r="H84" s="332" t="s">
        <v>436</v>
      </c>
      <c r="I84" s="303">
        <f>SUM(I69,I83)</f>
        <v>0</v>
      </c>
      <c r="J84" s="303">
        <f>SUM(J69,J83)</f>
        <v>29</v>
      </c>
      <c r="K84" s="303">
        <f>SUM(K69,K83)</f>
        <v>0</v>
      </c>
      <c r="L84" s="322"/>
    </row>
    <row r="85" spans="1:12" ht="12.75">
      <c r="A85" s="311"/>
      <c r="B85" s="301" t="s">
        <v>444</v>
      </c>
      <c r="C85" s="304">
        <f>SUM(C82+C66+C84)</f>
        <v>1555</v>
      </c>
      <c r="D85" s="304">
        <f>SUM(D82+D66+D84)</f>
        <v>1555</v>
      </c>
      <c r="E85" s="304">
        <f>SUM(E82+E66+E84)</f>
        <v>1568</v>
      </c>
      <c r="F85" s="326">
        <f>E85/D85*100</f>
        <v>100.83601286173634</v>
      </c>
      <c r="G85" s="311" t="s">
        <v>445</v>
      </c>
      <c r="H85" s="301" t="s">
        <v>444</v>
      </c>
      <c r="I85" s="304">
        <f>SUM(I68,I82,I84)</f>
        <v>1555</v>
      </c>
      <c r="J85" s="304">
        <f>SUM(J68,J82,J84)</f>
        <v>1555</v>
      </c>
      <c r="K85" s="304">
        <f>SUM(K68,K82,K84)</f>
        <v>1568</v>
      </c>
      <c r="L85" s="326">
        <f>K85/J85*100</f>
        <v>100.83601286173634</v>
      </c>
    </row>
    <row r="86" spans="1:12" ht="12.75">
      <c r="A86" s="564" t="s">
        <v>446</v>
      </c>
      <c r="B86" s="564"/>
      <c r="C86" s="564"/>
      <c r="D86" s="564"/>
      <c r="E86" s="564"/>
      <c r="F86" s="564"/>
      <c r="G86" s="564"/>
      <c r="H86" s="564"/>
      <c r="I86" s="564"/>
      <c r="J86" s="564"/>
      <c r="K86" s="564"/>
      <c r="L86" s="564"/>
    </row>
    <row r="87" spans="1:12" ht="12.75">
      <c r="A87" s="564"/>
      <c r="B87" s="564"/>
      <c r="C87" s="564"/>
      <c r="D87" s="564"/>
      <c r="E87" s="564"/>
      <c r="F87" s="564"/>
      <c r="G87" s="564"/>
      <c r="H87" s="564"/>
      <c r="I87" s="564"/>
      <c r="J87" s="564"/>
      <c r="K87" s="564"/>
      <c r="L87" s="564"/>
    </row>
    <row r="88" spans="1:12" ht="15.75">
      <c r="A88" s="315" t="s">
        <v>447</v>
      </c>
      <c r="C88" s="335" t="s">
        <v>448</v>
      </c>
      <c r="I88" s="565" t="s">
        <v>364</v>
      </c>
      <c r="J88" s="566"/>
      <c r="K88" s="566"/>
      <c r="L88" s="566"/>
    </row>
    <row r="89" spans="1:12" ht="12.75">
      <c r="A89" s="567" t="s">
        <v>365</v>
      </c>
      <c r="B89" s="569" t="s">
        <v>142</v>
      </c>
      <c r="C89" s="571" t="s">
        <v>366</v>
      </c>
      <c r="D89" s="571" t="s">
        <v>367</v>
      </c>
      <c r="E89" s="571" t="s">
        <v>155</v>
      </c>
      <c r="F89" s="559" t="s">
        <v>368</v>
      </c>
      <c r="G89" s="567" t="s">
        <v>365</v>
      </c>
      <c r="H89" s="569" t="s">
        <v>369</v>
      </c>
      <c r="I89" s="571" t="s">
        <v>366</v>
      </c>
      <c r="J89" s="571" t="s">
        <v>367</v>
      </c>
      <c r="K89" s="571" t="s">
        <v>155</v>
      </c>
      <c r="L89" s="559" t="s">
        <v>368</v>
      </c>
    </row>
    <row r="90" spans="1:12" ht="12.75">
      <c r="A90" s="567"/>
      <c r="B90" s="569"/>
      <c r="C90" s="572"/>
      <c r="D90" s="572"/>
      <c r="E90" s="572"/>
      <c r="F90" s="560"/>
      <c r="G90" s="567"/>
      <c r="H90" s="569"/>
      <c r="I90" s="572"/>
      <c r="J90" s="572"/>
      <c r="K90" s="572"/>
      <c r="L90" s="560"/>
    </row>
    <row r="91" spans="1:12" ht="12.75">
      <c r="A91" s="568"/>
      <c r="B91" s="570"/>
      <c r="C91" s="573"/>
      <c r="D91" s="573"/>
      <c r="E91" s="573"/>
      <c r="F91" s="553"/>
      <c r="G91" s="568"/>
      <c r="H91" s="570"/>
      <c r="I91" s="573"/>
      <c r="J91" s="573"/>
      <c r="K91" s="573"/>
      <c r="L91" s="553"/>
    </row>
    <row r="92" spans="1:12" ht="12.75">
      <c r="A92" s="317" t="s">
        <v>88</v>
      </c>
      <c r="B92" s="317" t="s">
        <v>185</v>
      </c>
      <c r="C92" s="318"/>
      <c r="D92" s="318"/>
      <c r="E92" s="318"/>
      <c r="F92" s="317"/>
      <c r="G92" s="317"/>
      <c r="H92" s="317" t="s">
        <v>91</v>
      </c>
      <c r="I92" s="318">
        <f>SUM(I93:I95,I96,I103,I104)</f>
        <v>1149918</v>
      </c>
      <c r="J92" s="318">
        <f>SUM(J93:J95,J96,J103,J104)</f>
        <v>1104882</v>
      </c>
      <c r="K92" s="318">
        <f>SUM(K93:K95,K96,K103,K104)</f>
        <v>1148575</v>
      </c>
      <c r="L92" s="319">
        <f>K92/J92*100</f>
        <v>103.95453994182185</v>
      </c>
    </row>
    <row r="93" spans="1:12" ht="12.75">
      <c r="A93" s="311" t="s">
        <v>100</v>
      </c>
      <c r="B93" s="296" t="s">
        <v>370</v>
      </c>
      <c r="C93" s="320">
        <f>SUM(C135+C177+C219+C261+C303+C345+C387)</f>
        <v>47081</v>
      </c>
      <c r="D93" s="320">
        <f>SUM(D135+D177+D219+D261+D303+D345+D387)</f>
        <v>42622</v>
      </c>
      <c r="E93" s="320">
        <f>SUM(E135+E177+E219+E261+E303+E345+E387)</f>
        <v>56599</v>
      </c>
      <c r="F93" s="321">
        <f>E93/D93*100</f>
        <v>132.79292384214725</v>
      </c>
      <c r="G93" s="317" t="s">
        <v>88</v>
      </c>
      <c r="H93" s="317" t="s">
        <v>92</v>
      </c>
      <c r="I93" s="303">
        <f aca="true" t="shared" si="12" ref="I93:K95">SUM(I135+I177+I219+I261+I303+I345+I387)</f>
        <v>521641</v>
      </c>
      <c r="J93" s="303">
        <f t="shared" si="12"/>
        <v>473318</v>
      </c>
      <c r="K93" s="303">
        <f t="shared" si="12"/>
        <v>487260</v>
      </c>
      <c r="L93" s="322">
        <f>K93/J93*100</f>
        <v>102.94558837821506</v>
      </c>
    </row>
    <row r="94" spans="1:12" ht="12.75">
      <c r="A94" s="311" t="s">
        <v>101</v>
      </c>
      <c r="B94" s="296" t="s">
        <v>371</v>
      </c>
      <c r="C94" s="320">
        <f>SUM(C136+C178+C220+C262+C304+C346+C388)</f>
        <v>255971</v>
      </c>
      <c r="D94" s="320">
        <f>SUM(D95:D97)</f>
        <v>268190</v>
      </c>
      <c r="E94" s="320">
        <f>SUM(E95:E97)</f>
        <v>281420</v>
      </c>
      <c r="F94" s="321">
        <f>E94/D94*100</f>
        <v>104.93306983854728</v>
      </c>
      <c r="G94" s="317" t="s">
        <v>372</v>
      </c>
      <c r="H94" s="317" t="s">
        <v>93</v>
      </c>
      <c r="I94" s="303">
        <f t="shared" si="12"/>
        <v>166645</v>
      </c>
      <c r="J94" s="303">
        <f t="shared" si="12"/>
        <v>154154</v>
      </c>
      <c r="K94" s="303">
        <f t="shared" si="12"/>
        <v>151557</v>
      </c>
      <c r="L94" s="322">
        <f>K94/J94*100</f>
        <v>98.31532104259378</v>
      </c>
    </row>
    <row r="95" spans="1:12" ht="12.75">
      <c r="A95" s="323" t="s">
        <v>373</v>
      </c>
      <c r="B95" s="293" t="s">
        <v>374</v>
      </c>
      <c r="C95" s="303">
        <f>SUM(C137+C179+C221+C263+C305+C347+C389)</f>
        <v>61700</v>
      </c>
      <c r="D95" s="303">
        <f aca="true" t="shared" si="13" ref="D95:E97">SUM(D137+D179+D221+D263+D305+D347+D389)</f>
        <v>66053</v>
      </c>
      <c r="E95" s="303">
        <f t="shared" si="13"/>
        <v>66800</v>
      </c>
      <c r="F95" s="322">
        <f>E95/D95*100</f>
        <v>101.13091002679666</v>
      </c>
      <c r="G95" s="317" t="s">
        <v>194</v>
      </c>
      <c r="H95" s="317" t="s">
        <v>269</v>
      </c>
      <c r="I95" s="303">
        <f t="shared" si="12"/>
        <v>238937</v>
      </c>
      <c r="J95" s="303">
        <f t="shared" si="12"/>
        <v>227053</v>
      </c>
      <c r="K95" s="303">
        <f t="shared" si="12"/>
        <v>235016</v>
      </c>
      <c r="L95" s="322">
        <f>K95/J95*100</f>
        <v>103.50711067460021</v>
      </c>
    </row>
    <row r="96" spans="1:12" ht="12.75">
      <c r="A96" s="323" t="s">
        <v>375</v>
      </c>
      <c r="B96" s="293" t="s">
        <v>376</v>
      </c>
      <c r="C96" s="303">
        <f>SUM(C138+C180+C222+C264+C306+C348+C390)</f>
        <v>193271</v>
      </c>
      <c r="D96" s="303">
        <f t="shared" si="13"/>
        <v>199188</v>
      </c>
      <c r="E96" s="303">
        <f t="shared" si="13"/>
        <v>211620</v>
      </c>
      <c r="F96" s="322">
        <f>E96/D96*100</f>
        <v>106.2413398397494</v>
      </c>
      <c r="G96" s="317" t="s">
        <v>195</v>
      </c>
      <c r="H96" s="317" t="s">
        <v>377</v>
      </c>
      <c r="I96" s="303">
        <f>SUM(I97:I101)</f>
        <v>197695</v>
      </c>
      <c r="J96" s="303">
        <f>SUM(J97:J101)</f>
        <v>228104</v>
      </c>
      <c r="K96" s="303">
        <f>SUM(K97:K101)</f>
        <v>206881</v>
      </c>
      <c r="L96" s="322">
        <f aca="true" t="shared" si="14" ref="L96:L103">K96/J96*100</f>
        <v>90.69591063725319</v>
      </c>
    </row>
    <row r="97" spans="1:12" ht="12.75">
      <c r="A97" s="323" t="s">
        <v>378</v>
      </c>
      <c r="B97" s="293" t="s">
        <v>379</v>
      </c>
      <c r="C97" s="303">
        <f>SUM(C139+C181+C223+C265+C307+C349+C391)</f>
        <v>1000</v>
      </c>
      <c r="D97" s="303">
        <f t="shared" si="13"/>
        <v>2949</v>
      </c>
      <c r="E97" s="303">
        <f t="shared" si="13"/>
        <v>3000</v>
      </c>
      <c r="F97" s="322">
        <f>E97/D97*100</f>
        <v>101.7293997965412</v>
      </c>
      <c r="G97" s="311" t="s">
        <v>100</v>
      </c>
      <c r="H97" s="293" t="s">
        <v>96</v>
      </c>
      <c r="I97" s="303">
        <f>SUM(I139+I181+I223+I265+I307+I349+I391)</f>
        <v>5558</v>
      </c>
      <c r="J97" s="303">
        <f>SUM(J139+J181+J223+J265+J307+J349+J391)</f>
        <v>6776</v>
      </c>
      <c r="K97" s="303">
        <f>SUM(K139+K181+K223+K265+K307+K349+K391)</f>
        <v>20356</v>
      </c>
      <c r="L97" s="322">
        <f t="shared" si="14"/>
        <v>300.41322314049586</v>
      </c>
    </row>
    <row r="98" spans="1:12" ht="12.75">
      <c r="A98" s="324" t="s">
        <v>192</v>
      </c>
      <c r="B98" s="317" t="s">
        <v>186</v>
      </c>
      <c r="C98" s="303"/>
      <c r="D98" s="303"/>
      <c r="E98" s="303"/>
      <c r="F98" s="322"/>
      <c r="G98" s="311" t="s">
        <v>101</v>
      </c>
      <c r="H98" s="293" t="s">
        <v>380</v>
      </c>
      <c r="I98" s="303">
        <f aca="true" t="shared" si="15" ref="I98:J101">SUM(I140+I182+I224+I266+I308+I350+I392)</f>
        <v>8500</v>
      </c>
      <c r="J98" s="303">
        <f t="shared" si="15"/>
        <v>12795</v>
      </c>
      <c r="K98" s="303">
        <v>13972</v>
      </c>
      <c r="L98" s="322">
        <f t="shared" si="14"/>
        <v>109.19890582258695</v>
      </c>
    </row>
    <row r="99" spans="1:12" ht="12.75">
      <c r="A99" s="311" t="s">
        <v>100</v>
      </c>
      <c r="B99" s="296" t="s">
        <v>381</v>
      </c>
      <c r="C99" s="320">
        <f aca="true" t="shared" si="16" ref="C99:E104">SUM(C141+C183+C225+C267+C309+C351+C393)</f>
        <v>604192</v>
      </c>
      <c r="D99" s="320">
        <f>SUM(D100:D102)</f>
        <v>665174</v>
      </c>
      <c r="E99" s="320">
        <f>SUM(E100:E102)</f>
        <v>607425</v>
      </c>
      <c r="F99" s="321">
        <f>E99/D99*100</f>
        <v>91.31821147549363</v>
      </c>
      <c r="G99" s="311" t="s">
        <v>102</v>
      </c>
      <c r="H99" s="293" t="s">
        <v>382</v>
      </c>
      <c r="I99" s="303">
        <f t="shared" si="15"/>
        <v>175518</v>
      </c>
      <c r="J99" s="303">
        <f t="shared" si="15"/>
        <v>201823</v>
      </c>
      <c r="K99" s="303">
        <f>SUM(K141+K183+K225+K267+K309+K351+K393)</f>
        <v>166245</v>
      </c>
      <c r="L99" s="322">
        <f t="shared" si="14"/>
        <v>82.371682117499</v>
      </c>
    </row>
    <row r="100" spans="1:12" ht="12.75">
      <c r="A100" s="311" t="s">
        <v>383</v>
      </c>
      <c r="B100" s="293" t="s">
        <v>384</v>
      </c>
      <c r="C100" s="303">
        <f t="shared" si="16"/>
        <v>420405</v>
      </c>
      <c r="D100" s="303">
        <f t="shared" si="16"/>
        <v>409389</v>
      </c>
      <c r="E100" s="303">
        <f t="shared" si="16"/>
        <v>415161</v>
      </c>
      <c r="F100" s="322">
        <f>E100/D100*100</f>
        <v>101.40990598184123</v>
      </c>
      <c r="G100" s="311" t="s">
        <v>103</v>
      </c>
      <c r="H100" s="293" t="s">
        <v>385</v>
      </c>
      <c r="I100" s="303">
        <f t="shared" si="15"/>
        <v>370</v>
      </c>
      <c r="J100" s="303">
        <f t="shared" si="15"/>
        <v>216</v>
      </c>
      <c r="K100" s="303">
        <f>SUM(K142+K184+K226+K268+K310+K352+K394)</f>
        <v>252</v>
      </c>
      <c r="L100" s="322">
        <f t="shared" si="14"/>
        <v>116.66666666666667</v>
      </c>
    </row>
    <row r="101" spans="1:12" ht="12.75">
      <c r="A101" s="311" t="s">
        <v>386</v>
      </c>
      <c r="B101" s="293" t="s">
        <v>387</v>
      </c>
      <c r="C101" s="303">
        <f t="shared" si="16"/>
        <v>32482</v>
      </c>
      <c r="D101" s="303">
        <f t="shared" si="16"/>
        <v>85094</v>
      </c>
      <c r="E101" s="303">
        <f t="shared" si="16"/>
        <v>0</v>
      </c>
      <c r="F101" s="322">
        <f>E101/D101*100</f>
        <v>0</v>
      </c>
      <c r="G101" s="311" t="s">
        <v>104</v>
      </c>
      <c r="H101" s="293" t="s">
        <v>388</v>
      </c>
      <c r="I101" s="303">
        <f t="shared" si="15"/>
        <v>7749</v>
      </c>
      <c r="J101" s="303">
        <f t="shared" si="15"/>
        <v>6494</v>
      </c>
      <c r="K101" s="303">
        <f>SUM(K143+K185+K227+K269+K311+K353+K395)</f>
        <v>6056</v>
      </c>
      <c r="L101" s="322">
        <f t="shared" si="14"/>
        <v>93.25531259624269</v>
      </c>
    </row>
    <row r="102" spans="1:12" ht="12.75">
      <c r="A102" s="311" t="s">
        <v>389</v>
      </c>
      <c r="B102" s="293" t="s">
        <v>390</v>
      </c>
      <c r="C102" s="303">
        <f t="shared" si="16"/>
        <v>151305</v>
      </c>
      <c r="D102" s="303">
        <f t="shared" si="16"/>
        <v>170691</v>
      </c>
      <c r="E102" s="303">
        <f t="shared" si="16"/>
        <v>192264</v>
      </c>
      <c r="F102" s="322">
        <f>E102/D102*100</f>
        <v>112.63862769566057</v>
      </c>
      <c r="G102" s="311"/>
      <c r="H102" s="293"/>
      <c r="I102" s="303"/>
      <c r="J102" s="303"/>
      <c r="K102" s="303"/>
      <c r="L102" s="322"/>
    </row>
    <row r="103" spans="1:12" ht="12.75">
      <c r="A103" s="317" t="s">
        <v>391</v>
      </c>
      <c r="B103" s="317" t="s">
        <v>392</v>
      </c>
      <c r="C103" s="303">
        <f t="shared" si="16"/>
        <v>43546</v>
      </c>
      <c r="D103" s="303">
        <f t="shared" si="16"/>
        <v>67943</v>
      </c>
      <c r="E103" s="303">
        <f t="shared" si="16"/>
        <v>39725</v>
      </c>
      <c r="F103" s="322">
        <f>E103/D103*100</f>
        <v>58.46812769527398</v>
      </c>
      <c r="G103" s="317" t="s">
        <v>197</v>
      </c>
      <c r="H103" s="317" t="s">
        <v>393</v>
      </c>
      <c r="I103" s="303">
        <f>SUM(I145+I187+I229+I271+I313+I355+I397)</f>
        <v>25000</v>
      </c>
      <c r="J103" s="303">
        <f>SUM(J145+J187+J229+J271+J313+J355+J397)</f>
        <v>22253</v>
      </c>
      <c r="K103" s="303">
        <f>SUM(K145+K187+K229+K271+K313+K355+K397)</f>
        <v>62861</v>
      </c>
      <c r="L103" s="322">
        <f t="shared" si="14"/>
        <v>282.4832606839527</v>
      </c>
    </row>
    <row r="104" spans="1:12" ht="12.75">
      <c r="A104" s="317" t="s">
        <v>394</v>
      </c>
      <c r="B104" s="317" t="s">
        <v>395</v>
      </c>
      <c r="C104" s="303">
        <f t="shared" si="16"/>
        <v>0</v>
      </c>
      <c r="D104" s="303">
        <f t="shared" si="16"/>
        <v>2852</v>
      </c>
      <c r="E104" s="303">
        <f t="shared" si="16"/>
        <v>0</v>
      </c>
      <c r="F104" s="322"/>
      <c r="G104" s="317" t="s">
        <v>198</v>
      </c>
      <c r="H104" s="317" t="s">
        <v>396</v>
      </c>
      <c r="I104" s="303">
        <f>SUM(I105:I106)</f>
        <v>0</v>
      </c>
      <c r="J104" s="303">
        <f>SUM(J105:J106)</f>
        <v>0</v>
      </c>
      <c r="K104" s="303">
        <f>SUM(K105:K106)</f>
        <v>5000</v>
      </c>
      <c r="L104" s="322"/>
    </row>
    <row r="105" spans="1:12" ht="12.75">
      <c r="A105" s="311"/>
      <c r="B105" s="293" t="s">
        <v>397</v>
      </c>
      <c r="C105" s="303"/>
      <c r="D105" s="303"/>
      <c r="E105" s="303"/>
      <c r="F105" s="322"/>
      <c r="G105" s="311" t="s">
        <v>100</v>
      </c>
      <c r="H105" s="293" t="s">
        <v>398</v>
      </c>
      <c r="I105" s="303">
        <f>SUM(I147+I189+I231+I273+I315+I357+I399)</f>
        <v>0</v>
      </c>
      <c r="J105" s="303">
        <f>SUM(J147+J189+J231+J273+J315+J357+J399)</f>
        <v>0</v>
      </c>
      <c r="K105" s="303">
        <f>SUM(K147+K189+K231+K273+K315+K357+K399)</f>
        <v>0</v>
      </c>
      <c r="L105" s="322"/>
    </row>
    <row r="106" spans="1:12" ht="12.75">
      <c r="A106" s="317" t="s">
        <v>399</v>
      </c>
      <c r="B106" s="317" t="s">
        <v>400</v>
      </c>
      <c r="C106" s="320">
        <f>SUM(C148+C190+C232+C274+C316+C358+C400)</f>
        <v>0</v>
      </c>
      <c r="D106" s="320">
        <f>SUM(D148+D190+D232+D274+D316+D358+D400)</f>
        <v>39582</v>
      </c>
      <c r="E106" s="320">
        <f>SUM(E148+E190+E232+E274+E316+E358+E400)</f>
        <v>0</v>
      </c>
      <c r="F106" s="321">
        <f>E106/D106*100</f>
        <v>0</v>
      </c>
      <c r="G106" s="311" t="s">
        <v>101</v>
      </c>
      <c r="H106" s="293" t="s">
        <v>401</v>
      </c>
      <c r="I106" s="303">
        <f>SUM(I148+I190+I232+I274+I316+I358+I400)</f>
        <v>0</v>
      </c>
      <c r="J106" s="303">
        <f>SUM(J190+J232+J274+J316+J358+J400)</f>
        <v>0</v>
      </c>
      <c r="K106" s="303">
        <f>SUM(K148+K190+K232+K274+K316+K358)</f>
        <v>5000</v>
      </c>
      <c r="L106" s="322"/>
    </row>
    <row r="107" spans="1:12" ht="12.75">
      <c r="A107" s="317" t="s">
        <v>198</v>
      </c>
      <c r="B107" s="317" t="s">
        <v>402</v>
      </c>
      <c r="C107" s="303"/>
      <c r="D107" s="303">
        <f>SUM(D149+D191+D233+D275+D317+D359+D401)</f>
        <v>12222</v>
      </c>
      <c r="E107" s="303"/>
      <c r="F107" s="322"/>
      <c r="G107" s="311"/>
      <c r="H107" s="293"/>
      <c r="I107" s="303"/>
      <c r="J107" s="303"/>
      <c r="K107" s="303"/>
      <c r="L107" s="322"/>
    </row>
    <row r="108" spans="1:12" ht="12.75">
      <c r="A108" s="311"/>
      <c r="B108" s="301" t="s">
        <v>403</v>
      </c>
      <c r="C108" s="304">
        <f>SUM(C93+C94+C99+C103+C104+C106+C107)</f>
        <v>950790</v>
      </c>
      <c r="D108" s="304">
        <f>SUM(D93+D94+D99+D103+D104+D106+D107)</f>
        <v>1098585</v>
      </c>
      <c r="E108" s="304">
        <f>SUM(E93+E94+E99+E103+E104+E106+E107)</f>
        <v>985169</v>
      </c>
      <c r="F108" s="325">
        <f>E108/D108*100</f>
        <v>89.67617435155223</v>
      </c>
      <c r="G108" s="311"/>
      <c r="H108" s="301" t="s">
        <v>404</v>
      </c>
      <c r="I108" s="304">
        <f>SUM(I92)</f>
        <v>1149918</v>
      </c>
      <c r="J108" s="304">
        <f>SUM(J92)</f>
        <v>1104882</v>
      </c>
      <c r="K108" s="304">
        <f>SUM(K92)</f>
        <v>1148575</v>
      </c>
      <c r="L108" s="326">
        <f>K108/J108*100</f>
        <v>103.95453994182185</v>
      </c>
    </row>
    <row r="109" spans="1:12" ht="12.75">
      <c r="A109" s="311"/>
      <c r="B109" s="327" t="s">
        <v>405</v>
      </c>
      <c r="C109" s="328">
        <f>I110-C108</f>
        <v>199128</v>
      </c>
      <c r="D109" s="328">
        <f>J110-D108</f>
        <v>6297</v>
      </c>
      <c r="E109" s="328">
        <f>K110-E108</f>
        <v>163406</v>
      </c>
      <c r="F109" s="322"/>
      <c r="G109" s="311"/>
      <c r="H109" s="293" t="s">
        <v>406</v>
      </c>
      <c r="I109" s="328">
        <f>SUM(I151,I193,I235,I277,I319,I361,I403)</f>
        <v>0</v>
      </c>
      <c r="J109" s="328">
        <f>SUM(J151,J193,J235,J277,J319,J361,J403)</f>
        <v>0</v>
      </c>
      <c r="K109" s="328">
        <f>SUM(K151,K193,K235,K277,K319,K361,K403)</f>
        <v>0</v>
      </c>
      <c r="L109" s="322"/>
    </row>
    <row r="110" spans="1:12" ht="12.75">
      <c r="A110" s="311"/>
      <c r="B110" s="317" t="s">
        <v>407</v>
      </c>
      <c r="C110" s="303"/>
      <c r="D110" s="303"/>
      <c r="E110" s="303"/>
      <c r="F110" s="322"/>
      <c r="G110" s="311"/>
      <c r="H110" s="301" t="s">
        <v>408</v>
      </c>
      <c r="I110" s="304">
        <f>SUM(I93+I94+I95+I96+I103+I104)</f>
        <v>1149918</v>
      </c>
      <c r="J110" s="304">
        <f>SUM(J93+J94+J95+J96+J103+J104)</f>
        <v>1104882</v>
      </c>
      <c r="K110" s="304">
        <f>SUM(K93+K94+K95+K96+K103+K104)</f>
        <v>1148575</v>
      </c>
      <c r="L110" s="326">
        <f>K110/J110*100</f>
        <v>103.95453994182185</v>
      </c>
    </row>
    <row r="111" spans="1:12" ht="12.75">
      <c r="A111" s="317" t="s">
        <v>409</v>
      </c>
      <c r="B111" s="317" t="s">
        <v>410</v>
      </c>
      <c r="C111" s="303">
        <f aca="true" t="shared" si="17" ref="C111:E114">SUM(C153+C195+C237+C279+C321+C363+C405)</f>
        <v>12030</v>
      </c>
      <c r="D111" s="303">
        <f t="shared" si="17"/>
        <v>26170</v>
      </c>
      <c r="E111" s="303">
        <f t="shared" si="17"/>
        <v>22451</v>
      </c>
      <c r="F111" s="322">
        <f aca="true" t="shared" si="18" ref="F111:F123">E111/D111*100</f>
        <v>85.7890714558655</v>
      </c>
      <c r="G111" s="311"/>
      <c r="H111" s="327" t="s">
        <v>411</v>
      </c>
      <c r="I111" s="303"/>
      <c r="J111" s="303"/>
      <c r="K111" s="303"/>
      <c r="L111" s="322"/>
    </row>
    <row r="112" spans="1:12" ht="12.75">
      <c r="A112" s="317" t="s">
        <v>412</v>
      </c>
      <c r="B112" s="317" t="s">
        <v>413</v>
      </c>
      <c r="C112" s="303">
        <f t="shared" si="17"/>
        <v>20194</v>
      </c>
      <c r="D112" s="303">
        <f t="shared" si="17"/>
        <v>22020</v>
      </c>
      <c r="E112" s="303">
        <f t="shared" si="17"/>
        <v>10000</v>
      </c>
      <c r="F112" s="322">
        <f t="shared" si="18"/>
        <v>45.41326067211626</v>
      </c>
      <c r="G112" s="311"/>
      <c r="H112" s="317" t="s">
        <v>94</v>
      </c>
      <c r="I112" s="303"/>
      <c r="J112" s="303"/>
      <c r="K112" s="303"/>
      <c r="L112" s="322"/>
    </row>
    <row r="113" spans="1:12" ht="12.75">
      <c r="A113" s="317" t="s">
        <v>414</v>
      </c>
      <c r="B113" s="317" t="s">
        <v>415</v>
      </c>
      <c r="C113" s="303">
        <f t="shared" si="17"/>
        <v>14096</v>
      </c>
      <c r="D113" s="303">
        <f t="shared" si="17"/>
        <v>14405</v>
      </c>
      <c r="E113" s="303">
        <f t="shared" si="17"/>
        <v>14011</v>
      </c>
      <c r="F113" s="322">
        <f t="shared" si="18"/>
        <v>97.26483859770913</v>
      </c>
      <c r="G113" s="317" t="s">
        <v>194</v>
      </c>
      <c r="H113" s="317" t="s">
        <v>416</v>
      </c>
      <c r="I113" s="303">
        <f>SUM(I155+I197+I239+I281+I323+I365+I407)</f>
        <v>20718</v>
      </c>
      <c r="J113" s="303">
        <f>SUM(J155+J197+J239+J281+J323+J365+J407)</f>
        <v>22771</v>
      </c>
      <c r="K113" s="303">
        <f>SUM(K155+K197+K239+K281+K323+K365+K407)</f>
        <v>26935</v>
      </c>
      <c r="L113" s="322">
        <f aca="true" t="shared" si="19" ref="L113:L121">K113/J113*100</f>
        <v>118.28641693381934</v>
      </c>
    </row>
    <row r="114" spans="1:12" ht="12.75">
      <c r="A114" s="317" t="s">
        <v>417</v>
      </c>
      <c r="B114" s="317" t="s">
        <v>193</v>
      </c>
      <c r="C114" s="303">
        <f t="shared" si="17"/>
        <v>131978</v>
      </c>
      <c r="D114" s="303">
        <f t="shared" si="17"/>
        <v>133900</v>
      </c>
      <c r="E114" s="303">
        <f t="shared" si="17"/>
        <v>6147</v>
      </c>
      <c r="F114" s="322">
        <f t="shared" si="18"/>
        <v>4.59073935772965</v>
      </c>
      <c r="G114" s="317" t="s">
        <v>195</v>
      </c>
      <c r="H114" s="317" t="s">
        <v>377</v>
      </c>
      <c r="I114" s="303">
        <f>SUM(I115:I116)</f>
        <v>0</v>
      </c>
      <c r="J114" s="303">
        <f>SUM(J115:J116)</f>
        <v>939</v>
      </c>
      <c r="K114" s="303">
        <f>SUM(K115:K116)</f>
        <v>0</v>
      </c>
      <c r="L114" s="322">
        <f t="shared" si="19"/>
        <v>0</v>
      </c>
    </row>
    <row r="115" spans="1:12" ht="12.75">
      <c r="A115" s="317" t="s">
        <v>194</v>
      </c>
      <c r="B115" s="317" t="s">
        <v>418</v>
      </c>
      <c r="C115" s="303">
        <f>SUM(C116:C118)</f>
        <v>8579</v>
      </c>
      <c r="D115" s="303">
        <f>SUM(D116:D118)</f>
        <v>10324</v>
      </c>
      <c r="E115" s="303">
        <f>SUM(E116:E118)</f>
        <v>4000</v>
      </c>
      <c r="F115" s="322">
        <f t="shared" si="18"/>
        <v>38.74467260751647</v>
      </c>
      <c r="G115" s="311" t="s">
        <v>100</v>
      </c>
      <c r="H115" s="293" t="s">
        <v>96</v>
      </c>
      <c r="I115" s="303">
        <f aca="true" t="shared" si="20" ref="I115:K116">SUM(I157+I199+I241+I283+I325+I367+I409)</f>
        <v>0</v>
      </c>
      <c r="J115" s="303">
        <f t="shared" si="20"/>
        <v>320</v>
      </c>
      <c r="K115" s="303">
        <f t="shared" si="20"/>
        <v>0</v>
      </c>
      <c r="L115" s="322">
        <f t="shared" si="19"/>
        <v>0</v>
      </c>
    </row>
    <row r="116" spans="1:12" ht="12.75">
      <c r="A116" s="311" t="s">
        <v>100</v>
      </c>
      <c r="B116" s="330" t="s">
        <v>419</v>
      </c>
      <c r="C116" s="303">
        <f aca="true" t="shared" si="21" ref="C116:E123">SUM(C158+C200+C242+C284+C326+C368+C410)</f>
        <v>0</v>
      </c>
      <c r="D116" s="303">
        <f t="shared" si="21"/>
        <v>132</v>
      </c>
      <c r="E116" s="303">
        <f t="shared" si="21"/>
        <v>0</v>
      </c>
      <c r="F116" s="322">
        <f t="shared" si="18"/>
        <v>0</v>
      </c>
      <c r="G116" s="311" t="s">
        <v>101</v>
      </c>
      <c r="H116" s="293" t="s">
        <v>420</v>
      </c>
      <c r="I116" s="303">
        <f t="shared" si="20"/>
        <v>0</v>
      </c>
      <c r="J116" s="303">
        <f t="shared" si="20"/>
        <v>619</v>
      </c>
      <c r="K116" s="303">
        <f t="shared" si="20"/>
        <v>0</v>
      </c>
      <c r="L116" s="322">
        <f t="shared" si="19"/>
        <v>0</v>
      </c>
    </row>
    <row r="117" spans="1:12" ht="12.75">
      <c r="A117" s="311" t="s">
        <v>101</v>
      </c>
      <c r="B117" s="330" t="s">
        <v>421</v>
      </c>
      <c r="C117" s="303">
        <f t="shared" si="21"/>
        <v>8089</v>
      </c>
      <c r="D117" s="303">
        <f t="shared" si="21"/>
        <v>10192</v>
      </c>
      <c r="E117" s="303">
        <f t="shared" si="21"/>
        <v>4000</v>
      </c>
      <c r="F117" s="322">
        <f t="shared" si="18"/>
        <v>39.24646781789639</v>
      </c>
      <c r="G117" s="317" t="s">
        <v>196</v>
      </c>
      <c r="H117" s="317" t="s">
        <v>422</v>
      </c>
      <c r="I117" s="303">
        <f>SUM(I118:I120)</f>
        <v>3037665</v>
      </c>
      <c r="J117" s="303">
        <f>SUM(J118:J120)</f>
        <v>230643</v>
      </c>
      <c r="K117" s="303">
        <f>SUM(K118:K120)</f>
        <v>190047</v>
      </c>
      <c r="L117" s="322">
        <f t="shared" si="19"/>
        <v>82.39877212835421</v>
      </c>
    </row>
    <row r="118" spans="1:12" ht="12.75">
      <c r="A118" s="311" t="s">
        <v>102</v>
      </c>
      <c r="B118" s="330" t="s">
        <v>161</v>
      </c>
      <c r="C118" s="303">
        <f t="shared" si="21"/>
        <v>490</v>
      </c>
      <c r="D118" s="303">
        <f t="shared" si="21"/>
        <v>0</v>
      </c>
      <c r="E118" s="303">
        <f t="shared" si="21"/>
        <v>0</v>
      </c>
      <c r="F118" s="322"/>
      <c r="G118" s="311" t="s">
        <v>100</v>
      </c>
      <c r="H118" s="330" t="s">
        <v>117</v>
      </c>
      <c r="I118" s="303">
        <f aca="true" t="shared" si="22" ref="I118:K123">SUM(I160+I202+I244+I286+I328+I370+I412)</f>
        <v>0</v>
      </c>
      <c r="J118" s="303">
        <f t="shared" si="22"/>
        <v>6296</v>
      </c>
      <c r="K118" s="303">
        <f t="shared" si="22"/>
        <v>15875</v>
      </c>
      <c r="L118" s="322">
        <f t="shared" si="19"/>
        <v>252.14421855146125</v>
      </c>
    </row>
    <row r="119" spans="1:12" ht="12.75">
      <c r="A119" s="317" t="s">
        <v>423</v>
      </c>
      <c r="B119" s="317" t="s">
        <v>424</v>
      </c>
      <c r="C119" s="303">
        <f t="shared" si="21"/>
        <v>2616530</v>
      </c>
      <c r="D119" s="303">
        <f t="shared" si="21"/>
        <v>32364</v>
      </c>
      <c r="E119" s="303">
        <f t="shared" si="21"/>
        <v>52835</v>
      </c>
      <c r="F119" s="322">
        <f t="shared" si="18"/>
        <v>163.25237918675072</v>
      </c>
      <c r="G119" s="311" t="s">
        <v>101</v>
      </c>
      <c r="H119" s="330" t="s">
        <v>97</v>
      </c>
      <c r="I119" s="303">
        <f t="shared" si="22"/>
        <v>3037665</v>
      </c>
      <c r="J119" s="303">
        <f t="shared" si="22"/>
        <v>224347</v>
      </c>
      <c r="K119" s="303">
        <f t="shared" si="22"/>
        <v>174172</v>
      </c>
      <c r="L119" s="322">
        <f t="shared" si="19"/>
        <v>77.63509206719948</v>
      </c>
    </row>
    <row r="120" spans="1:12" ht="12.75">
      <c r="A120" s="317" t="s">
        <v>425</v>
      </c>
      <c r="B120" s="317" t="s">
        <v>426</v>
      </c>
      <c r="C120" s="303">
        <f t="shared" si="21"/>
        <v>1000</v>
      </c>
      <c r="D120" s="303">
        <f t="shared" si="21"/>
        <v>911</v>
      </c>
      <c r="E120" s="303">
        <f t="shared" si="21"/>
        <v>1073</v>
      </c>
      <c r="F120" s="322">
        <f t="shared" si="18"/>
        <v>117.78265642151482</v>
      </c>
      <c r="G120" s="311" t="s">
        <v>102</v>
      </c>
      <c r="H120" s="293" t="s">
        <v>163</v>
      </c>
      <c r="I120" s="303">
        <f t="shared" si="22"/>
        <v>0</v>
      </c>
      <c r="J120" s="303">
        <f t="shared" si="22"/>
        <v>0</v>
      </c>
      <c r="K120" s="303">
        <f t="shared" si="22"/>
        <v>0</v>
      </c>
      <c r="L120" s="322"/>
    </row>
    <row r="121" spans="1:12" ht="12.75">
      <c r="A121" s="317" t="s">
        <v>196</v>
      </c>
      <c r="B121" s="317" t="s">
        <v>427</v>
      </c>
      <c r="C121" s="303">
        <f t="shared" si="21"/>
        <v>0</v>
      </c>
      <c r="D121" s="303">
        <f t="shared" si="21"/>
        <v>300000</v>
      </c>
      <c r="E121" s="303">
        <f t="shared" si="21"/>
        <v>0</v>
      </c>
      <c r="F121" s="322">
        <f t="shared" si="18"/>
        <v>0</v>
      </c>
      <c r="G121" s="317" t="s">
        <v>197</v>
      </c>
      <c r="H121" s="317" t="s">
        <v>428</v>
      </c>
      <c r="I121" s="303">
        <f t="shared" si="22"/>
        <v>30064</v>
      </c>
      <c r="J121" s="303">
        <f t="shared" si="22"/>
        <v>31887</v>
      </c>
      <c r="K121" s="303">
        <f t="shared" si="22"/>
        <v>6116</v>
      </c>
      <c r="L121" s="322">
        <f t="shared" si="19"/>
        <v>19.18023018785085</v>
      </c>
    </row>
    <row r="122" spans="1:12" ht="12.75">
      <c r="A122" s="317" t="s">
        <v>197</v>
      </c>
      <c r="B122" s="317" t="s">
        <v>428</v>
      </c>
      <c r="C122" s="303">
        <f t="shared" si="21"/>
        <v>300000</v>
      </c>
      <c r="D122" s="303">
        <f t="shared" si="21"/>
        <v>22583</v>
      </c>
      <c r="E122" s="303">
        <f t="shared" si="21"/>
        <v>0</v>
      </c>
      <c r="F122" s="322">
        <f t="shared" si="18"/>
        <v>0</v>
      </c>
      <c r="G122" s="317" t="s">
        <v>198</v>
      </c>
      <c r="H122" s="317" t="s">
        <v>396</v>
      </c>
      <c r="I122" s="303">
        <f t="shared" si="22"/>
        <v>15960</v>
      </c>
      <c r="J122" s="303">
        <f>SUM(J123)</f>
        <v>0</v>
      </c>
      <c r="K122" s="303">
        <v>0</v>
      </c>
      <c r="L122" s="322"/>
    </row>
    <row r="123" spans="1:12" ht="12.75">
      <c r="A123" s="317" t="s">
        <v>198</v>
      </c>
      <c r="B123" s="317" t="s">
        <v>402</v>
      </c>
      <c r="C123" s="303">
        <f t="shared" si="21"/>
        <v>0</v>
      </c>
      <c r="D123" s="303">
        <f t="shared" si="21"/>
        <v>7052</v>
      </c>
      <c r="E123" s="303">
        <f t="shared" si="21"/>
        <v>112581</v>
      </c>
      <c r="F123" s="322">
        <f t="shared" si="18"/>
        <v>1596.4407260351675</v>
      </c>
      <c r="G123" s="311" t="s">
        <v>100</v>
      </c>
      <c r="H123" s="293" t="s">
        <v>398</v>
      </c>
      <c r="I123" s="303">
        <f t="shared" si="22"/>
        <v>15960</v>
      </c>
      <c r="J123" s="303">
        <v>0</v>
      </c>
      <c r="K123" s="303">
        <f>SUM(K147+K189+K231+K273+K315+K357+K399)</f>
        <v>0</v>
      </c>
      <c r="L123" s="322"/>
    </row>
    <row r="124" spans="1:12" ht="12.75">
      <c r="A124" s="311"/>
      <c r="B124" s="301" t="s">
        <v>429</v>
      </c>
      <c r="C124" s="304">
        <f>SUM(C111+C112+C113+C114+C115+C119+C120+C121+C122+C123)</f>
        <v>3104407</v>
      </c>
      <c r="D124" s="304">
        <f>SUM(D111+D112+D113+D114+D115+D119+D120+D121+D122+D123)</f>
        <v>569729</v>
      </c>
      <c r="E124" s="304">
        <f>SUM(E111+E112+E113+E114+E115+E119+E120+E121+E122+E123)</f>
        <v>223098</v>
      </c>
      <c r="F124" s="326">
        <f>E124/D124*100</f>
        <v>39.15861751815336</v>
      </c>
      <c r="G124" s="311" t="s">
        <v>441</v>
      </c>
      <c r="H124" s="301" t="s">
        <v>430</v>
      </c>
      <c r="I124" s="304">
        <f>SUM(I113+I114+I117+I121+I122)</f>
        <v>3104407</v>
      </c>
      <c r="J124" s="304">
        <f>SUM(J113+J114+J117+J121+J122)</f>
        <v>286240</v>
      </c>
      <c r="K124" s="304">
        <f>SUM(K113+K114+K117+K121+K122)</f>
        <v>223098</v>
      </c>
      <c r="L124" s="326">
        <f>K124/J124*100</f>
        <v>77.940888764673</v>
      </c>
    </row>
    <row r="125" spans="1:12" ht="12.75">
      <c r="A125" s="311"/>
      <c r="B125" s="327" t="s">
        <v>433</v>
      </c>
      <c r="C125" s="328"/>
      <c r="D125" s="328"/>
      <c r="E125" s="328">
        <f>K124-E124</f>
        <v>0</v>
      </c>
      <c r="F125" s="331"/>
      <c r="G125" s="311" t="s">
        <v>442</v>
      </c>
      <c r="H125" s="293" t="s">
        <v>434</v>
      </c>
      <c r="I125" s="303">
        <f>C124-I124</f>
        <v>0</v>
      </c>
      <c r="J125" s="303">
        <f>D124-J124</f>
        <v>283489</v>
      </c>
      <c r="K125" s="303"/>
      <c r="L125" s="322"/>
    </row>
    <row r="126" spans="1:12" ht="13.5">
      <c r="A126" s="311"/>
      <c r="B126" s="332" t="s">
        <v>435</v>
      </c>
      <c r="C126" s="333">
        <f>SUM(C125+C109)</f>
        <v>199128</v>
      </c>
      <c r="D126" s="333">
        <f>SUM(D125+D109)</f>
        <v>6297</v>
      </c>
      <c r="E126" s="333">
        <f>SUM(E125+E109)</f>
        <v>163406</v>
      </c>
      <c r="F126" s="334"/>
      <c r="G126" s="311" t="s">
        <v>443</v>
      </c>
      <c r="H126" s="332" t="s">
        <v>436</v>
      </c>
      <c r="I126" s="303">
        <f>SUM(I109,I125)</f>
        <v>0</v>
      </c>
      <c r="J126" s="303">
        <f>SUM(J109,J125)</f>
        <v>283489</v>
      </c>
      <c r="K126" s="320">
        <f>SUM(K109,K125)</f>
        <v>0</v>
      </c>
      <c r="L126" s="322"/>
    </row>
    <row r="127" spans="1:12" ht="12.75">
      <c r="A127" s="311"/>
      <c r="B127" s="301" t="s">
        <v>449</v>
      </c>
      <c r="C127" s="304">
        <f>SUM(C124+C108+C126)</f>
        <v>4254325</v>
      </c>
      <c r="D127" s="304">
        <f>SUM(D124+D108+D126)</f>
        <v>1674611</v>
      </c>
      <c r="E127" s="304">
        <f>SUM(E124+E108+E126)</f>
        <v>1371673</v>
      </c>
      <c r="F127" s="326">
        <f>E127/D127*100</f>
        <v>81.9099480416646</v>
      </c>
      <c r="G127" s="311" t="s">
        <v>445</v>
      </c>
      <c r="H127" s="301" t="s">
        <v>450</v>
      </c>
      <c r="I127" s="304">
        <f>SUM(I110,I124,I126)</f>
        <v>4254325</v>
      </c>
      <c r="J127" s="304">
        <f>SUM(J110,J124,J126)</f>
        <v>1674611</v>
      </c>
      <c r="K127" s="304">
        <f>SUM(K110,K124,K126)</f>
        <v>1371673</v>
      </c>
      <c r="L127" s="326">
        <f>K127/J127*100</f>
        <v>81.9099480416646</v>
      </c>
    </row>
    <row r="128" spans="1:12" ht="12.75">
      <c r="A128" s="564" t="s">
        <v>451</v>
      </c>
      <c r="B128" s="564"/>
      <c r="C128" s="564"/>
      <c r="D128" s="564"/>
      <c r="E128" s="564"/>
      <c r="F128" s="564"/>
      <c r="G128" s="564"/>
      <c r="H128" s="564"/>
      <c r="I128" s="564"/>
      <c r="J128" s="564"/>
      <c r="K128" s="564"/>
      <c r="L128" s="564"/>
    </row>
    <row r="129" spans="1:12" ht="12.75">
      <c r="A129" s="564"/>
      <c r="B129" s="564"/>
      <c r="C129" s="564"/>
      <c r="D129" s="564"/>
      <c r="E129" s="564"/>
      <c r="F129" s="564"/>
      <c r="G129" s="564"/>
      <c r="H129" s="564"/>
      <c r="I129" s="564"/>
      <c r="J129" s="564"/>
      <c r="K129" s="564"/>
      <c r="L129" s="564"/>
    </row>
    <row r="130" spans="1:12" ht="15.75">
      <c r="A130" s="315" t="s">
        <v>447</v>
      </c>
      <c r="C130" s="335" t="s">
        <v>452</v>
      </c>
      <c r="I130" s="565" t="s">
        <v>364</v>
      </c>
      <c r="J130" s="566"/>
      <c r="K130" s="566"/>
      <c r="L130" s="566"/>
    </row>
    <row r="131" spans="1:12" ht="12.75">
      <c r="A131" s="567" t="s">
        <v>365</v>
      </c>
      <c r="B131" s="569" t="s">
        <v>142</v>
      </c>
      <c r="C131" s="571" t="s">
        <v>366</v>
      </c>
      <c r="D131" s="571" t="s">
        <v>367</v>
      </c>
      <c r="E131" s="571" t="s">
        <v>155</v>
      </c>
      <c r="F131" s="559" t="s">
        <v>368</v>
      </c>
      <c r="G131" s="567" t="s">
        <v>365</v>
      </c>
      <c r="H131" s="569" t="s">
        <v>369</v>
      </c>
      <c r="I131" s="571" t="s">
        <v>366</v>
      </c>
      <c r="J131" s="571" t="s">
        <v>367</v>
      </c>
      <c r="K131" s="571" t="s">
        <v>155</v>
      </c>
      <c r="L131" s="559" t="s">
        <v>368</v>
      </c>
    </row>
    <row r="132" spans="1:12" ht="12.75">
      <c r="A132" s="567"/>
      <c r="B132" s="569"/>
      <c r="C132" s="572"/>
      <c r="D132" s="572"/>
      <c r="E132" s="572"/>
      <c r="F132" s="560"/>
      <c r="G132" s="567"/>
      <c r="H132" s="569"/>
      <c r="I132" s="572"/>
      <c r="J132" s="572"/>
      <c r="K132" s="572"/>
      <c r="L132" s="560"/>
    </row>
    <row r="133" spans="1:12" ht="12.75">
      <c r="A133" s="568"/>
      <c r="B133" s="570"/>
      <c r="C133" s="573"/>
      <c r="D133" s="573"/>
      <c r="E133" s="573"/>
      <c r="F133" s="553"/>
      <c r="G133" s="568"/>
      <c r="H133" s="570"/>
      <c r="I133" s="573"/>
      <c r="J133" s="573"/>
      <c r="K133" s="573"/>
      <c r="L133" s="553"/>
    </row>
    <row r="134" spans="1:12" ht="12.75">
      <c r="A134" s="317" t="s">
        <v>88</v>
      </c>
      <c r="B134" s="317" t="s">
        <v>185</v>
      </c>
      <c r="C134" s="318">
        <f>SUM(C135:C136)</f>
        <v>269826</v>
      </c>
      <c r="D134" s="318">
        <f>SUM(D135:D136)</f>
        <v>280005</v>
      </c>
      <c r="E134" s="318"/>
      <c r="F134" s="317"/>
      <c r="G134" s="317"/>
      <c r="H134" s="317" t="s">
        <v>91</v>
      </c>
      <c r="I134" s="318">
        <f>SUM(I135:I137,I138,I145,I146)</f>
        <v>550555</v>
      </c>
      <c r="J134" s="318">
        <f>SUM(J135:J137,J138,J145,J146)</f>
        <v>534649</v>
      </c>
      <c r="K134" s="318">
        <f>SUM(K135:K137,K138,K145,K146)</f>
        <v>592081</v>
      </c>
      <c r="L134" s="319">
        <f>K134/J134*100</f>
        <v>110.74200082671062</v>
      </c>
    </row>
    <row r="135" spans="1:12" ht="12.75">
      <c r="A135" s="311" t="s">
        <v>100</v>
      </c>
      <c r="B135" s="296" t="s">
        <v>370</v>
      </c>
      <c r="C135" s="320">
        <v>13855</v>
      </c>
      <c r="D135" s="320">
        <v>11815</v>
      </c>
      <c r="E135" s="320">
        <v>15591</v>
      </c>
      <c r="F135" s="321">
        <f>E135/D135*100</f>
        <v>131.95937367752856</v>
      </c>
      <c r="G135" s="317" t="s">
        <v>88</v>
      </c>
      <c r="H135" s="317" t="s">
        <v>92</v>
      </c>
      <c r="I135" s="303">
        <v>176443</v>
      </c>
      <c r="J135" s="303">
        <v>145165</v>
      </c>
      <c r="K135" s="303">
        <v>188375</v>
      </c>
      <c r="L135" s="322">
        <f>K135/J135*100</f>
        <v>129.766128198946</v>
      </c>
    </row>
    <row r="136" spans="1:12" ht="12.75">
      <c r="A136" s="311" t="s">
        <v>101</v>
      </c>
      <c r="B136" s="296" t="s">
        <v>371</v>
      </c>
      <c r="C136" s="320">
        <f>SUM(C137:C139)</f>
        <v>255971</v>
      </c>
      <c r="D136" s="320">
        <f>SUM(D137:D139)</f>
        <v>268190</v>
      </c>
      <c r="E136" s="320">
        <f>SUM(E137:E139)</f>
        <v>281420</v>
      </c>
      <c r="F136" s="321">
        <f>E136/D136*100</f>
        <v>104.93306983854728</v>
      </c>
      <c r="G136" s="317" t="s">
        <v>372</v>
      </c>
      <c r="H136" s="317" t="s">
        <v>93</v>
      </c>
      <c r="I136" s="303">
        <v>58993</v>
      </c>
      <c r="J136" s="303">
        <v>49912</v>
      </c>
      <c r="K136" s="303">
        <v>54261</v>
      </c>
      <c r="L136" s="322">
        <f>K136/J136*100</f>
        <v>108.71333547042796</v>
      </c>
    </row>
    <row r="137" spans="1:12" ht="12.75">
      <c r="A137" s="323" t="s">
        <v>373</v>
      </c>
      <c r="B137" s="293" t="s">
        <v>374</v>
      </c>
      <c r="C137" s="303">
        <v>61700</v>
      </c>
      <c r="D137" s="303">
        <v>66053</v>
      </c>
      <c r="E137" s="303">
        <v>66800</v>
      </c>
      <c r="F137" s="322">
        <f>E137/D137*100</f>
        <v>101.13091002679666</v>
      </c>
      <c r="G137" s="317" t="s">
        <v>194</v>
      </c>
      <c r="H137" s="317" t="s">
        <v>269</v>
      </c>
      <c r="I137" s="303">
        <v>98601</v>
      </c>
      <c r="J137" s="303">
        <v>99743</v>
      </c>
      <c r="K137" s="303">
        <v>95779</v>
      </c>
      <c r="L137" s="322">
        <f>K137/J137*100</f>
        <v>96.02578627071574</v>
      </c>
    </row>
    <row r="138" spans="1:12" ht="12.75">
      <c r="A138" s="323" t="s">
        <v>375</v>
      </c>
      <c r="B138" s="293" t="s">
        <v>376</v>
      </c>
      <c r="C138" s="303">
        <v>193271</v>
      </c>
      <c r="D138" s="303">
        <v>199188</v>
      </c>
      <c r="E138" s="303">
        <v>211620</v>
      </c>
      <c r="F138" s="322">
        <f>E138/D138*100</f>
        <v>106.2413398397494</v>
      </c>
      <c r="G138" s="317" t="s">
        <v>195</v>
      </c>
      <c r="H138" s="317" t="s">
        <v>377</v>
      </c>
      <c r="I138" s="303">
        <f>SUM(I139:I143)</f>
        <v>186518</v>
      </c>
      <c r="J138" s="303">
        <f>SUM(J139:J143)</f>
        <v>217576</v>
      </c>
      <c r="K138" s="303">
        <f>SUM(K139:K143)</f>
        <v>185805</v>
      </c>
      <c r="L138" s="322">
        <f aca="true" t="shared" si="23" ref="L138:L145">K138/J138*100</f>
        <v>85.39774607493473</v>
      </c>
    </row>
    <row r="139" spans="1:12" ht="12.75">
      <c r="A139" s="323" t="s">
        <v>378</v>
      </c>
      <c r="B139" s="293" t="s">
        <v>379</v>
      </c>
      <c r="C139" s="303">
        <v>1000</v>
      </c>
      <c r="D139" s="303">
        <v>2949</v>
      </c>
      <c r="E139" s="303">
        <v>3000</v>
      </c>
      <c r="F139" s="322"/>
      <c r="G139" s="311" t="s">
        <v>100</v>
      </c>
      <c r="H139" s="293" t="s">
        <v>96</v>
      </c>
      <c r="I139" s="303">
        <v>1500</v>
      </c>
      <c r="J139" s="303">
        <v>2958</v>
      </c>
      <c r="K139" s="303">
        <f>500+3000+1300+275+513</f>
        <v>5588</v>
      </c>
      <c r="L139" s="322">
        <f t="shared" si="23"/>
        <v>188.91142663962137</v>
      </c>
    </row>
    <row r="140" spans="1:12" ht="12.75">
      <c r="A140" s="324" t="s">
        <v>192</v>
      </c>
      <c r="B140" s="317" t="s">
        <v>186</v>
      </c>
      <c r="C140" s="303">
        <f>SUM(C141)</f>
        <v>248783</v>
      </c>
      <c r="D140" s="303">
        <f>SUM(D141)</f>
        <v>287694</v>
      </c>
      <c r="E140" s="303"/>
      <c r="F140" s="322"/>
      <c r="G140" s="311" t="s">
        <v>101</v>
      </c>
      <c r="H140" s="293" t="s">
        <v>380</v>
      </c>
      <c r="I140" s="303">
        <v>8500</v>
      </c>
      <c r="J140" s="303">
        <v>12795</v>
      </c>
      <c r="K140" s="303">
        <v>13972</v>
      </c>
      <c r="L140" s="322">
        <f t="shared" si="23"/>
        <v>109.19890582258695</v>
      </c>
    </row>
    <row r="141" spans="1:12" ht="12.75">
      <c r="A141" s="311" t="s">
        <v>100</v>
      </c>
      <c r="B141" s="296" t="s">
        <v>381</v>
      </c>
      <c r="C141" s="320">
        <f>SUM(C142:C144)</f>
        <v>248783</v>
      </c>
      <c r="D141" s="320">
        <f>SUM(D142:D144)</f>
        <v>287694</v>
      </c>
      <c r="E141" s="320">
        <f>SUM(E142:E144)</f>
        <v>284826</v>
      </c>
      <c r="F141" s="321">
        <f>E141/D141*100</f>
        <v>99.00310746835179</v>
      </c>
      <c r="G141" s="311" t="s">
        <v>102</v>
      </c>
      <c r="H141" s="293" t="s">
        <v>382</v>
      </c>
      <c r="I141" s="303">
        <v>175518</v>
      </c>
      <c r="J141" s="303">
        <v>201823</v>
      </c>
      <c r="K141" s="303">
        <f>16355+149890</f>
        <v>166245</v>
      </c>
      <c r="L141" s="322">
        <f t="shared" si="23"/>
        <v>82.371682117499</v>
      </c>
    </row>
    <row r="142" spans="1:12" ht="12.75">
      <c r="A142" s="311" t="s">
        <v>383</v>
      </c>
      <c r="B142" s="293" t="s">
        <v>384</v>
      </c>
      <c r="C142" s="303">
        <v>92876</v>
      </c>
      <c r="D142" s="303">
        <v>93030</v>
      </c>
      <c r="E142" s="303">
        <v>94104</v>
      </c>
      <c r="F142" s="322">
        <f>E142/D142*100</f>
        <v>101.15446630119315</v>
      </c>
      <c r="G142" s="311" t="s">
        <v>103</v>
      </c>
      <c r="H142" s="293" t="s">
        <v>385</v>
      </c>
      <c r="I142" s="303">
        <v>0</v>
      </c>
      <c r="J142" s="303">
        <v>0</v>
      </c>
      <c r="K142" s="303">
        <v>0</v>
      </c>
      <c r="L142" s="322"/>
    </row>
    <row r="143" spans="1:12" ht="12.75">
      <c r="A143" s="311" t="s">
        <v>386</v>
      </c>
      <c r="B143" s="293" t="s">
        <v>387</v>
      </c>
      <c r="C143" s="303">
        <v>5700</v>
      </c>
      <c r="D143" s="303">
        <v>25193</v>
      </c>
      <c r="E143" s="303">
        <v>0</v>
      </c>
      <c r="F143" s="322">
        <f>E143/D143*100</f>
        <v>0</v>
      </c>
      <c r="G143" s="311" t="s">
        <v>104</v>
      </c>
      <c r="H143" s="293" t="s">
        <v>388</v>
      </c>
      <c r="I143" s="303">
        <v>1000</v>
      </c>
      <c r="J143" s="303">
        <v>0</v>
      </c>
      <c r="K143" s="303">
        <v>0</v>
      </c>
      <c r="L143" s="322"/>
    </row>
    <row r="144" spans="1:12" ht="12.75">
      <c r="A144" s="311" t="s">
        <v>389</v>
      </c>
      <c r="B144" s="293" t="s">
        <v>390</v>
      </c>
      <c r="C144" s="303">
        <v>150207</v>
      </c>
      <c r="D144" s="303">
        <v>169471</v>
      </c>
      <c r="E144" s="303">
        <v>190722</v>
      </c>
      <c r="F144" s="322">
        <f>E144/D144*100</f>
        <v>112.53960854659499</v>
      </c>
      <c r="G144" s="311"/>
      <c r="H144" s="293"/>
      <c r="I144" s="303"/>
      <c r="J144" s="303"/>
      <c r="K144" s="303"/>
      <c r="L144" s="322"/>
    </row>
    <row r="145" spans="1:12" ht="12.75">
      <c r="A145" s="317" t="s">
        <v>391</v>
      </c>
      <c r="B145" s="317" t="s">
        <v>392</v>
      </c>
      <c r="C145" s="303">
        <v>11296</v>
      </c>
      <c r="D145" s="303">
        <v>26472</v>
      </c>
      <c r="E145" s="303">
        <v>320</v>
      </c>
      <c r="F145" s="322">
        <f>E145/D145*100</f>
        <v>1.2088244182532488</v>
      </c>
      <c r="G145" s="317" t="s">
        <v>197</v>
      </c>
      <c r="H145" s="317" t="s">
        <v>393</v>
      </c>
      <c r="I145" s="303">
        <v>25000</v>
      </c>
      <c r="J145" s="303">
        <v>22253</v>
      </c>
      <c r="K145" s="303">
        <v>62861</v>
      </c>
      <c r="L145" s="322">
        <f t="shared" si="23"/>
        <v>282.4832606839527</v>
      </c>
    </row>
    <row r="146" spans="1:12" ht="12.75">
      <c r="A146" s="317" t="s">
        <v>394</v>
      </c>
      <c r="B146" s="317" t="s">
        <v>395</v>
      </c>
      <c r="C146" s="303">
        <v>0</v>
      </c>
      <c r="D146" s="303">
        <v>98</v>
      </c>
      <c r="E146" s="303"/>
      <c r="F146" s="322"/>
      <c r="G146" s="317" t="s">
        <v>198</v>
      </c>
      <c r="H146" s="317" t="s">
        <v>396</v>
      </c>
      <c r="I146" s="303">
        <v>5000</v>
      </c>
      <c r="J146" s="303"/>
      <c r="K146" s="303">
        <f>SUM(K147:K148)</f>
        <v>5000</v>
      </c>
      <c r="L146" s="322"/>
    </row>
    <row r="147" spans="1:12" ht="12.75">
      <c r="A147" s="311"/>
      <c r="B147" s="293" t="s">
        <v>397</v>
      </c>
      <c r="C147" s="303"/>
      <c r="D147" s="303"/>
      <c r="E147" s="303"/>
      <c r="F147" s="322"/>
      <c r="G147" s="311" t="s">
        <v>100</v>
      </c>
      <c r="H147" s="293" t="s">
        <v>398</v>
      </c>
      <c r="I147" s="303"/>
      <c r="J147" s="303"/>
      <c r="K147" s="303"/>
      <c r="L147" s="322"/>
    </row>
    <row r="148" spans="1:12" ht="12.75">
      <c r="A148" s="317" t="s">
        <v>399</v>
      </c>
      <c r="B148" s="317" t="s">
        <v>400</v>
      </c>
      <c r="C148" s="320">
        <v>0</v>
      </c>
      <c r="D148" s="320">
        <v>39582</v>
      </c>
      <c r="E148" s="320">
        <v>0</v>
      </c>
      <c r="F148" s="321">
        <f>E148/D148*100</f>
        <v>0</v>
      </c>
      <c r="G148" s="311" t="s">
        <v>101</v>
      </c>
      <c r="H148" s="293" t="s">
        <v>401</v>
      </c>
      <c r="I148" s="303"/>
      <c r="J148" s="303"/>
      <c r="K148" s="303">
        <v>5000</v>
      </c>
      <c r="L148" s="322"/>
    </row>
    <row r="149" spans="1:12" ht="12.75">
      <c r="A149" s="317" t="s">
        <v>198</v>
      </c>
      <c r="B149" s="317" t="s">
        <v>402</v>
      </c>
      <c r="C149" s="303"/>
      <c r="D149" s="303">
        <v>12222</v>
      </c>
      <c r="E149" s="303"/>
      <c r="F149" s="322">
        <f>E149/D149*100</f>
        <v>0</v>
      </c>
      <c r="G149" s="311"/>
      <c r="H149" s="293"/>
      <c r="I149" s="303"/>
      <c r="J149" s="303"/>
      <c r="K149" s="303"/>
      <c r="L149" s="322"/>
    </row>
    <row r="150" spans="1:12" ht="12.75">
      <c r="A150" s="311"/>
      <c r="B150" s="301" t="s">
        <v>403</v>
      </c>
      <c r="C150" s="304">
        <f>SUM(C135+C136+C141+C145+C146+C148+C149)</f>
        <v>529905</v>
      </c>
      <c r="D150" s="304">
        <f>SUM(D135+D136+D141+D145+D146+D148+D149)</f>
        <v>646073</v>
      </c>
      <c r="E150" s="304">
        <f>SUM(E135+E136+E141+E145+E146+E148+E149)</f>
        <v>582157</v>
      </c>
      <c r="F150" s="325">
        <f>E150/D150*100</f>
        <v>90.1070002925366</v>
      </c>
      <c r="G150" s="311"/>
      <c r="H150" s="301" t="s">
        <v>404</v>
      </c>
      <c r="I150" s="304">
        <f>SUM(I134)</f>
        <v>550555</v>
      </c>
      <c r="J150" s="304">
        <f>SUM(J134)</f>
        <v>534649</v>
      </c>
      <c r="K150" s="304">
        <f>SUM(K134)</f>
        <v>592081</v>
      </c>
      <c r="L150" s="326">
        <f>K150/J150*100</f>
        <v>110.74200082671062</v>
      </c>
    </row>
    <row r="151" spans="1:12" ht="12.75">
      <c r="A151" s="311"/>
      <c r="B151" s="327" t="s">
        <v>405</v>
      </c>
      <c r="C151" s="328">
        <f>I152-C150</f>
        <v>20650</v>
      </c>
      <c r="D151" s="328"/>
      <c r="E151" s="328">
        <f>K152-E150</f>
        <v>9924</v>
      </c>
      <c r="F151" s="329"/>
      <c r="G151" s="311"/>
      <c r="H151" s="293" t="s">
        <v>406</v>
      </c>
      <c r="I151" s="328"/>
      <c r="J151" s="328"/>
      <c r="K151" s="328"/>
      <c r="L151" s="322"/>
    </row>
    <row r="152" spans="1:12" ht="12.75">
      <c r="A152" s="311"/>
      <c r="B152" s="317" t="s">
        <v>407</v>
      </c>
      <c r="C152" s="303"/>
      <c r="D152" s="303"/>
      <c r="E152" s="303"/>
      <c r="F152" s="322"/>
      <c r="G152" s="311"/>
      <c r="H152" s="301" t="s">
        <v>408</v>
      </c>
      <c r="I152" s="304">
        <f>SUM(I135+I136+I137+I138+I145+I146)</f>
        <v>550555</v>
      </c>
      <c r="J152" s="304">
        <v>534649</v>
      </c>
      <c r="K152" s="304">
        <f>SUM(K135+K136+K137+K138+K145+K146)</f>
        <v>592081</v>
      </c>
      <c r="L152" s="326">
        <f>K152/J152*100</f>
        <v>110.74200082671062</v>
      </c>
    </row>
    <row r="153" spans="1:12" ht="12.75">
      <c r="A153" s="317" t="s">
        <v>409</v>
      </c>
      <c r="B153" s="317" t="s">
        <v>410</v>
      </c>
      <c r="C153" s="303">
        <v>12030</v>
      </c>
      <c r="D153" s="303">
        <f>5740+20430</f>
        <v>26170</v>
      </c>
      <c r="E153" s="303">
        <v>22451</v>
      </c>
      <c r="F153" s="322">
        <f>E153/D153*100</f>
        <v>85.7890714558655</v>
      </c>
      <c r="G153" s="311"/>
      <c r="H153" s="327" t="s">
        <v>411</v>
      </c>
      <c r="I153" s="303"/>
      <c r="J153" s="303">
        <f>D150-J152</f>
        <v>111424</v>
      </c>
      <c r="K153" s="303"/>
      <c r="L153" s="322"/>
    </row>
    <row r="154" spans="1:12" ht="12.75">
      <c r="A154" s="317" t="s">
        <v>412</v>
      </c>
      <c r="B154" s="317" t="s">
        <v>453</v>
      </c>
      <c r="C154" s="303">
        <v>20194</v>
      </c>
      <c r="D154" s="303">
        <v>22020</v>
      </c>
      <c r="E154" s="303">
        <v>10000</v>
      </c>
      <c r="F154" s="322">
        <f aca="true" t="shared" si="24" ref="F154:F165">E154/D154*100</f>
        <v>45.41326067211626</v>
      </c>
      <c r="G154" s="311"/>
      <c r="H154" s="317" t="s">
        <v>94</v>
      </c>
      <c r="I154" s="303"/>
      <c r="J154" s="303"/>
      <c r="K154" s="303"/>
      <c r="L154" s="322"/>
    </row>
    <row r="155" spans="1:12" ht="12.75">
      <c r="A155" s="317" t="s">
        <v>414</v>
      </c>
      <c r="B155" s="317" t="s">
        <v>415</v>
      </c>
      <c r="C155" s="303">
        <v>14096</v>
      </c>
      <c r="D155" s="303">
        <v>14405</v>
      </c>
      <c r="E155" s="303">
        <v>14011</v>
      </c>
      <c r="F155" s="322">
        <f t="shared" si="24"/>
        <v>97.26483859770913</v>
      </c>
      <c r="G155" s="317" t="s">
        <v>194</v>
      </c>
      <c r="H155" s="317" t="s">
        <v>416</v>
      </c>
      <c r="I155" s="303">
        <v>20718</v>
      </c>
      <c r="J155" s="303">
        <f>5128+17643</f>
        <v>22771</v>
      </c>
      <c r="K155" s="303">
        <v>26935</v>
      </c>
      <c r="L155" s="322">
        <f aca="true" t="shared" si="25" ref="L155:L163">K155/J155*100</f>
        <v>118.28641693381934</v>
      </c>
    </row>
    <row r="156" spans="1:12" ht="12.75">
      <c r="A156" s="317" t="s">
        <v>417</v>
      </c>
      <c r="B156" s="317" t="s">
        <v>193</v>
      </c>
      <c r="C156" s="303">
        <v>131978</v>
      </c>
      <c r="D156" s="303">
        <v>133900</v>
      </c>
      <c r="E156" s="303">
        <v>6147</v>
      </c>
      <c r="F156" s="322">
        <f t="shared" si="24"/>
        <v>4.59073935772965</v>
      </c>
      <c r="G156" s="317" t="s">
        <v>195</v>
      </c>
      <c r="H156" s="317" t="s">
        <v>377</v>
      </c>
      <c r="I156" s="303"/>
      <c r="J156" s="303">
        <f>SUM(J157:J158)</f>
        <v>939</v>
      </c>
      <c r="K156" s="303">
        <v>0</v>
      </c>
      <c r="L156" s="322">
        <f t="shared" si="25"/>
        <v>0</v>
      </c>
    </row>
    <row r="157" spans="1:12" ht="12.75">
      <c r="A157" s="317" t="s">
        <v>194</v>
      </c>
      <c r="B157" s="317" t="s">
        <v>418</v>
      </c>
      <c r="C157" s="320">
        <f>SUM(C158:C160)</f>
        <v>8579</v>
      </c>
      <c r="D157" s="320">
        <f>SUM(D158:D160)</f>
        <v>10324</v>
      </c>
      <c r="E157" s="303">
        <f>SUM(E158:E160)</f>
        <v>4000</v>
      </c>
      <c r="F157" s="322">
        <f t="shared" si="24"/>
        <v>38.74467260751647</v>
      </c>
      <c r="G157" s="311" t="s">
        <v>100</v>
      </c>
      <c r="H157" s="293" t="s">
        <v>96</v>
      </c>
      <c r="I157" s="303"/>
      <c r="J157" s="303">
        <v>320</v>
      </c>
      <c r="K157" s="303"/>
      <c r="L157" s="322">
        <f t="shared" si="25"/>
        <v>0</v>
      </c>
    </row>
    <row r="158" spans="1:12" ht="12.75">
      <c r="A158" s="311" t="s">
        <v>100</v>
      </c>
      <c r="B158" s="330" t="s">
        <v>419</v>
      </c>
      <c r="C158" s="303">
        <v>0</v>
      </c>
      <c r="D158" s="303">
        <v>132</v>
      </c>
      <c r="E158" s="303"/>
      <c r="F158" s="322">
        <f t="shared" si="24"/>
        <v>0</v>
      </c>
      <c r="G158" s="311" t="s">
        <v>101</v>
      </c>
      <c r="H158" s="293" t="s">
        <v>420</v>
      </c>
      <c r="I158" s="303"/>
      <c r="J158" s="303">
        <v>619</v>
      </c>
      <c r="K158" s="303"/>
      <c r="L158" s="322">
        <f t="shared" si="25"/>
        <v>0</v>
      </c>
    </row>
    <row r="159" spans="1:12" ht="12.75">
      <c r="A159" s="311" t="s">
        <v>101</v>
      </c>
      <c r="B159" s="330" t="s">
        <v>421</v>
      </c>
      <c r="C159" s="303">
        <v>8089</v>
      </c>
      <c r="D159" s="303">
        <v>10192</v>
      </c>
      <c r="E159" s="303">
        <v>4000</v>
      </c>
      <c r="F159" s="322">
        <f t="shared" si="24"/>
        <v>39.24646781789639</v>
      </c>
      <c r="G159" s="317" t="s">
        <v>196</v>
      </c>
      <c r="H159" s="317" t="s">
        <v>422</v>
      </c>
      <c r="I159" s="303">
        <f>SUM(I160:I162)</f>
        <v>3037665</v>
      </c>
      <c r="J159" s="303">
        <f>SUM(J160:J162)</f>
        <v>230643</v>
      </c>
      <c r="K159" s="303">
        <f>SUM(K160:K162)</f>
        <v>190047</v>
      </c>
      <c r="L159" s="322">
        <f t="shared" si="25"/>
        <v>82.39877212835421</v>
      </c>
    </row>
    <row r="160" spans="1:12" ht="12.75">
      <c r="A160" s="311" t="s">
        <v>102</v>
      </c>
      <c r="B160" s="330" t="s">
        <v>161</v>
      </c>
      <c r="C160" s="303">
        <v>490</v>
      </c>
      <c r="D160" s="303"/>
      <c r="E160" s="303"/>
      <c r="F160" s="322"/>
      <c r="G160" s="311" t="s">
        <v>100</v>
      </c>
      <c r="H160" s="330" t="s">
        <v>117</v>
      </c>
      <c r="I160" s="303"/>
      <c r="J160" s="303">
        <v>6296</v>
      </c>
      <c r="K160" s="303">
        <v>15875</v>
      </c>
      <c r="L160" s="322">
        <f t="shared" si="25"/>
        <v>252.14421855146125</v>
      </c>
    </row>
    <row r="161" spans="1:12" ht="12.75">
      <c r="A161" s="317" t="s">
        <v>423</v>
      </c>
      <c r="B161" s="317" t="s">
        <v>424</v>
      </c>
      <c r="C161" s="303">
        <v>2616530</v>
      </c>
      <c r="D161" s="303">
        <v>32364</v>
      </c>
      <c r="E161" s="303">
        <v>52835</v>
      </c>
      <c r="F161" s="322">
        <f t="shared" si="24"/>
        <v>163.25237918675072</v>
      </c>
      <c r="G161" s="311" t="s">
        <v>101</v>
      </c>
      <c r="H161" s="330" t="s">
        <v>97</v>
      </c>
      <c r="I161" s="303">
        <v>3037665</v>
      </c>
      <c r="J161" s="303">
        <v>224347</v>
      </c>
      <c r="K161" s="303">
        <v>174172</v>
      </c>
      <c r="L161" s="322">
        <f t="shared" si="25"/>
        <v>77.63509206719948</v>
      </c>
    </row>
    <row r="162" spans="1:12" ht="12.75">
      <c r="A162" s="317" t="s">
        <v>425</v>
      </c>
      <c r="B162" s="317" t="s">
        <v>426</v>
      </c>
      <c r="C162" s="303">
        <v>1000</v>
      </c>
      <c r="D162" s="303">
        <v>911</v>
      </c>
      <c r="E162" s="303">
        <v>1073</v>
      </c>
      <c r="F162" s="322">
        <f t="shared" si="24"/>
        <v>117.78265642151482</v>
      </c>
      <c r="G162" s="311" t="s">
        <v>102</v>
      </c>
      <c r="H162" s="293" t="s">
        <v>163</v>
      </c>
      <c r="I162" s="303"/>
      <c r="J162" s="303"/>
      <c r="K162" s="303"/>
      <c r="L162" s="322"/>
    </row>
    <row r="163" spans="1:12" ht="12.75">
      <c r="A163" s="317" t="s">
        <v>196</v>
      </c>
      <c r="B163" s="317" t="s">
        <v>427</v>
      </c>
      <c r="C163" s="303">
        <v>0</v>
      </c>
      <c r="D163" s="303">
        <v>300000</v>
      </c>
      <c r="E163" s="303">
        <v>0</v>
      </c>
      <c r="F163" s="322">
        <f t="shared" si="24"/>
        <v>0</v>
      </c>
      <c r="G163" s="317" t="s">
        <v>197</v>
      </c>
      <c r="H163" s="317" t="s">
        <v>428</v>
      </c>
      <c r="I163" s="303">
        <v>30064</v>
      </c>
      <c r="J163" s="303">
        <v>31887</v>
      </c>
      <c r="K163" s="303">
        <v>6116</v>
      </c>
      <c r="L163" s="322">
        <f t="shared" si="25"/>
        <v>19.18023018785085</v>
      </c>
    </row>
    <row r="164" spans="1:12" ht="12.75">
      <c r="A164" s="317" t="s">
        <v>197</v>
      </c>
      <c r="B164" s="317" t="s">
        <v>428</v>
      </c>
      <c r="C164" s="303">
        <v>300000</v>
      </c>
      <c r="D164" s="303">
        <v>22583</v>
      </c>
      <c r="E164" s="303">
        <v>0</v>
      </c>
      <c r="F164" s="322">
        <f t="shared" si="24"/>
        <v>0</v>
      </c>
      <c r="G164" s="317" t="s">
        <v>198</v>
      </c>
      <c r="H164" s="317" t="s">
        <v>396</v>
      </c>
      <c r="I164" s="303">
        <v>15960</v>
      </c>
      <c r="J164" s="303"/>
      <c r="K164" s="303">
        <f>SUM(K165)</f>
        <v>0</v>
      </c>
      <c r="L164" s="322"/>
    </row>
    <row r="165" spans="1:12" ht="12.75">
      <c r="A165" s="317" t="s">
        <v>198</v>
      </c>
      <c r="B165" s="317" t="s">
        <v>402</v>
      </c>
      <c r="C165" s="303"/>
      <c r="D165" s="303">
        <v>7052</v>
      </c>
      <c r="E165" s="303">
        <v>112581</v>
      </c>
      <c r="F165" s="322">
        <f t="shared" si="24"/>
        <v>1596.4407260351675</v>
      </c>
      <c r="G165" s="311" t="s">
        <v>100</v>
      </c>
      <c r="H165" s="293" t="s">
        <v>398</v>
      </c>
      <c r="I165" s="303">
        <v>15960</v>
      </c>
      <c r="J165" s="303"/>
      <c r="K165" s="303"/>
      <c r="L165" s="322"/>
    </row>
    <row r="166" spans="1:12" ht="12.75">
      <c r="A166" s="311"/>
      <c r="B166" s="301" t="s">
        <v>358</v>
      </c>
      <c r="C166" s="304">
        <f>SUM(C153+C154+C155+C156+C157+C161+C162+C163+C164+C165)</f>
        <v>3104407</v>
      </c>
      <c r="D166" s="304">
        <f>SUM(D153+D154+D155+D156+D157+D161+D162+D163+D164+D165)</f>
        <v>569729</v>
      </c>
      <c r="E166" s="304">
        <f>SUM(E153+E154+E155+E156+E157+E161+E162+E163+E164+E165)</f>
        <v>223098</v>
      </c>
      <c r="F166" s="326">
        <f>E166/D166*100</f>
        <v>39.15861751815336</v>
      </c>
      <c r="G166" s="311" t="s">
        <v>441</v>
      </c>
      <c r="H166" s="301" t="s">
        <v>358</v>
      </c>
      <c r="I166" s="304">
        <f>SUM(I155+I156+I159+I163+I164)</f>
        <v>3104407</v>
      </c>
      <c r="J166" s="304">
        <f>SUM(J155+J156+J159+J163+J164)</f>
        <v>286240</v>
      </c>
      <c r="K166" s="304">
        <f>SUM(K155+K156+K159+K163+K164)</f>
        <v>223098</v>
      </c>
      <c r="L166" s="326">
        <f>K166/J166*100</f>
        <v>77.940888764673</v>
      </c>
    </row>
    <row r="167" spans="1:12" ht="12.75">
      <c r="A167" s="311"/>
      <c r="B167" s="327" t="s">
        <v>433</v>
      </c>
      <c r="C167" s="328">
        <f>I166-C166</f>
        <v>0</v>
      </c>
      <c r="D167" s="328"/>
      <c r="E167" s="328">
        <f>K166-E166</f>
        <v>0</v>
      </c>
      <c r="F167" s="331"/>
      <c r="G167" s="311" t="s">
        <v>442</v>
      </c>
      <c r="H167" s="293" t="s">
        <v>434</v>
      </c>
      <c r="I167" s="303">
        <f>C166-I166</f>
        <v>0</v>
      </c>
      <c r="J167" s="303">
        <f>D166-J166</f>
        <v>283489</v>
      </c>
      <c r="K167" s="303"/>
      <c r="L167" s="322"/>
    </row>
    <row r="168" spans="1:12" ht="13.5">
      <c r="A168" s="311"/>
      <c r="B168" s="332" t="s">
        <v>435</v>
      </c>
      <c r="C168" s="333">
        <f>SUM(C167+C151)</f>
        <v>20650</v>
      </c>
      <c r="D168" s="333">
        <f>SUM(D167+D151)</f>
        <v>0</v>
      </c>
      <c r="E168" s="333">
        <f>SUM(E167+E151)</f>
        <v>9924</v>
      </c>
      <c r="F168" s="334"/>
      <c r="G168" s="311" t="s">
        <v>443</v>
      </c>
      <c r="H168" s="332" t="s">
        <v>436</v>
      </c>
      <c r="I168" s="320">
        <f>SUM(I153,I167)</f>
        <v>0</v>
      </c>
      <c r="J168" s="320">
        <f>SUM(J153,J167)</f>
        <v>394913</v>
      </c>
      <c r="K168" s="320">
        <f>SUM(K153,K167)</f>
        <v>0</v>
      </c>
      <c r="L168" s="322"/>
    </row>
    <row r="169" spans="1:12" ht="12.75">
      <c r="A169" s="311"/>
      <c r="B169" s="301" t="s">
        <v>449</v>
      </c>
      <c r="C169" s="304">
        <f>SUM(C166+C150+C168)</f>
        <v>3654962</v>
      </c>
      <c r="D169" s="304">
        <f>SUM(D166+D150+D168)</f>
        <v>1215802</v>
      </c>
      <c r="E169" s="304">
        <f>SUM(E166+E150+E168)</f>
        <v>815179</v>
      </c>
      <c r="F169" s="326">
        <f>E169/D169*100</f>
        <v>67.04866417393622</v>
      </c>
      <c r="G169" s="311" t="s">
        <v>445</v>
      </c>
      <c r="H169" s="301" t="s">
        <v>450</v>
      </c>
      <c r="I169" s="304">
        <f>SUM(I152,I166,I168)</f>
        <v>3654962</v>
      </c>
      <c r="J169" s="304">
        <f>SUM(J152,J166,J168)</f>
        <v>1215802</v>
      </c>
      <c r="K169" s="304">
        <f>SUM(K152,K166,K168)</f>
        <v>815179</v>
      </c>
      <c r="L169" s="326">
        <f>K169/J169*100</f>
        <v>67.04866417393622</v>
      </c>
    </row>
    <row r="170" spans="1:12" ht="12.75">
      <c r="A170" s="564" t="s">
        <v>454</v>
      </c>
      <c r="B170" s="564"/>
      <c r="C170" s="564"/>
      <c r="D170" s="564"/>
      <c r="E170" s="564"/>
      <c r="F170" s="564"/>
      <c r="G170" s="564"/>
      <c r="H170" s="564"/>
      <c r="I170" s="564"/>
      <c r="J170" s="564"/>
      <c r="K170" s="564"/>
      <c r="L170" s="564"/>
    </row>
    <row r="171" spans="1:12" ht="26.25" customHeight="1">
      <c r="A171" s="564"/>
      <c r="B171" s="564"/>
      <c r="C171" s="564"/>
      <c r="D171" s="564"/>
      <c r="E171" s="564"/>
      <c r="F171" s="564"/>
      <c r="G171" s="564"/>
      <c r="H171" s="564"/>
      <c r="I171" s="564"/>
      <c r="J171" s="564"/>
      <c r="K171" s="564"/>
      <c r="L171" s="564"/>
    </row>
    <row r="172" spans="1:12" ht="15.75">
      <c r="A172" s="315" t="s">
        <v>447</v>
      </c>
      <c r="C172" s="335" t="s">
        <v>455</v>
      </c>
      <c r="I172" s="565" t="s">
        <v>364</v>
      </c>
      <c r="J172" s="566"/>
      <c r="K172" s="566"/>
      <c r="L172" s="566"/>
    </row>
    <row r="173" spans="1:12" ht="12.75">
      <c r="A173" s="567" t="s">
        <v>365</v>
      </c>
      <c r="B173" s="569" t="s">
        <v>142</v>
      </c>
      <c r="C173" s="571" t="s">
        <v>366</v>
      </c>
      <c r="D173" s="571" t="s">
        <v>367</v>
      </c>
      <c r="E173" s="571" t="s">
        <v>155</v>
      </c>
      <c r="F173" s="559" t="s">
        <v>368</v>
      </c>
      <c r="G173" s="567" t="s">
        <v>365</v>
      </c>
      <c r="H173" s="569" t="s">
        <v>369</v>
      </c>
      <c r="I173" s="571" t="s">
        <v>366</v>
      </c>
      <c r="J173" s="571" t="s">
        <v>367</v>
      </c>
      <c r="K173" s="571" t="s">
        <v>155</v>
      </c>
      <c r="L173" s="559" t="s">
        <v>368</v>
      </c>
    </row>
    <row r="174" spans="1:12" ht="12.75">
      <c r="A174" s="567"/>
      <c r="B174" s="569"/>
      <c r="C174" s="572"/>
      <c r="D174" s="572"/>
      <c r="E174" s="572"/>
      <c r="F174" s="560"/>
      <c r="G174" s="567"/>
      <c r="H174" s="569"/>
      <c r="I174" s="572"/>
      <c r="J174" s="572"/>
      <c r="K174" s="572"/>
      <c r="L174" s="560"/>
    </row>
    <row r="175" spans="1:12" ht="12.75">
      <c r="A175" s="568"/>
      <c r="B175" s="570"/>
      <c r="C175" s="573"/>
      <c r="D175" s="573"/>
      <c r="E175" s="573"/>
      <c r="F175" s="553"/>
      <c r="G175" s="568"/>
      <c r="H175" s="570"/>
      <c r="I175" s="573"/>
      <c r="J175" s="573"/>
      <c r="K175" s="573"/>
      <c r="L175" s="553"/>
    </row>
    <row r="176" spans="1:12" ht="12.75">
      <c r="A176" s="317" t="s">
        <v>88</v>
      </c>
      <c r="B176" s="317" t="s">
        <v>185</v>
      </c>
      <c r="C176" s="318"/>
      <c r="D176" s="318"/>
      <c r="E176" s="318"/>
      <c r="F176" s="317"/>
      <c r="G176" s="317"/>
      <c r="H176" s="317" t="s">
        <v>91</v>
      </c>
      <c r="I176" s="318">
        <f>SUM(I177:I179,I180,I187,I188)</f>
        <v>289309</v>
      </c>
      <c r="J176" s="318">
        <f>SUM(J177:J179,J180,J187,J188)</f>
        <v>287700</v>
      </c>
      <c r="K176" s="318">
        <f>SUM(K177:K179,K180,K187,K188)</f>
        <v>274896</v>
      </c>
      <c r="L176" s="319">
        <f>K176/J176*100</f>
        <v>95.5495307612096</v>
      </c>
    </row>
    <row r="177" spans="1:12" ht="12.75">
      <c r="A177" s="311" t="s">
        <v>100</v>
      </c>
      <c r="B177" s="296" t="s">
        <v>370</v>
      </c>
      <c r="C177" s="320">
        <v>8291</v>
      </c>
      <c r="D177" s="320">
        <v>6282</v>
      </c>
      <c r="E177" s="320">
        <v>11403</v>
      </c>
      <c r="F177" s="321">
        <f>E177/D177*100</f>
        <v>181.5186246418338</v>
      </c>
      <c r="G177" s="317" t="s">
        <v>88</v>
      </c>
      <c r="H177" s="317" t="s">
        <v>92</v>
      </c>
      <c r="I177" s="303">
        <v>180017</v>
      </c>
      <c r="J177" s="303">
        <v>177436</v>
      </c>
      <c r="K177" s="303">
        <f>164207-450</f>
        <v>163757</v>
      </c>
      <c r="L177" s="322">
        <f>K177/J177*100</f>
        <v>92.29074145043846</v>
      </c>
    </row>
    <row r="178" spans="1:12" ht="12.75">
      <c r="A178" s="311" t="s">
        <v>101</v>
      </c>
      <c r="B178" s="296" t="s">
        <v>371</v>
      </c>
      <c r="C178" s="320">
        <f>SUM(C179:C181)</f>
        <v>0</v>
      </c>
      <c r="D178" s="320">
        <f>SUM(D179:D181)</f>
        <v>0</v>
      </c>
      <c r="E178" s="320">
        <v>0</v>
      </c>
      <c r="F178" s="321"/>
      <c r="G178" s="317" t="s">
        <v>372</v>
      </c>
      <c r="H178" s="317" t="s">
        <v>93</v>
      </c>
      <c r="I178" s="303">
        <v>56248</v>
      </c>
      <c r="J178" s="303">
        <v>56482</v>
      </c>
      <c r="K178" s="303">
        <v>52905</v>
      </c>
      <c r="L178" s="322">
        <f>K178/J178*100</f>
        <v>93.66700895860627</v>
      </c>
    </row>
    <row r="179" spans="1:12" ht="12.75">
      <c r="A179" s="323" t="s">
        <v>373</v>
      </c>
      <c r="B179" s="293" t="s">
        <v>374</v>
      </c>
      <c r="C179" s="303">
        <v>0</v>
      </c>
      <c r="D179" s="303">
        <v>0</v>
      </c>
      <c r="E179" s="303">
        <v>0</v>
      </c>
      <c r="F179" s="322"/>
      <c r="G179" s="317" t="s">
        <v>194</v>
      </c>
      <c r="H179" s="317" t="s">
        <v>269</v>
      </c>
      <c r="I179" s="303">
        <v>41867</v>
      </c>
      <c r="J179" s="303">
        <v>44409</v>
      </c>
      <c r="K179" s="303">
        <v>42086</v>
      </c>
      <c r="L179" s="322">
        <f>K179/J179*100</f>
        <v>94.76907833997613</v>
      </c>
    </row>
    <row r="180" spans="1:12" ht="12.75">
      <c r="A180" s="323" t="s">
        <v>375</v>
      </c>
      <c r="B180" s="293" t="s">
        <v>376</v>
      </c>
      <c r="C180" s="303">
        <v>0</v>
      </c>
      <c r="D180" s="303">
        <v>0</v>
      </c>
      <c r="E180" s="303"/>
      <c r="F180" s="322"/>
      <c r="G180" s="317" t="s">
        <v>195</v>
      </c>
      <c r="H180" s="317" t="s">
        <v>377</v>
      </c>
      <c r="I180" s="303">
        <f>SUM(I181:I185)</f>
        <v>11177</v>
      </c>
      <c r="J180" s="303">
        <f>SUM(J181:J185)</f>
        <v>9373</v>
      </c>
      <c r="K180" s="303">
        <f>SUM(K181:K185)</f>
        <v>16148</v>
      </c>
      <c r="L180" s="322"/>
    </row>
    <row r="181" spans="1:12" ht="12.75">
      <c r="A181" s="323" t="s">
        <v>378</v>
      </c>
      <c r="B181" s="293" t="s">
        <v>379</v>
      </c>
      <c r="C181" s="303">
        <v>0</v>
      </c>
      <c r="D181" s="303">
        <v>0</v>
      </c>
      <c r="E181" s="303"/>
      <c r="F181" s="322"/>
      <c r="G181" s="311" t="s">
        <v>100</v>
      </c>
      <c r="H181" s="293" t="s">
        <v>96</v>
      </c>
      <c r="I181" s="303">
        <v>4058</v>
      </c>
      <c r="J181" s="303">
        <v>2663</v>
      </c>
      <c r="K181" s="303">
        <v>9840</v>
      </c>
      <c r="L181" s="322"/>
    </row>
    <row r="182" spans="1:12" ht="12.75">
      <c r="A182" s="324" t="s">
        <v>192</v>
      </c>
      <c r="B182" s="317" t="s">
        <v>186</v>
      </c>
      <c r="C182" s="303"/>
      <c r="D182" s="303"/>
      <c r="E182" s="303"/>
      <c r="F182" s="322"/>
      <c r="G182" s="311" t="s">
        <v>101</v>
      </c>
      <c r="H182" s="293" t="s">
        <v>380</v>
      </c>
      <c r="I182" s="303"/>
      <c r="J182" s="303"/>
      <c r="K182" s="303"/>
      <c r="L182" s="322"/>
    </row>
    <row r="183" spans="1:12" ht="12.75">
      <c r="A183" s="311" t="s">
        <v>100</v>
      </c>
      <c r="B183" s="296" t="s">
        <v>381</v>
      </c>
      <c r="C183" s="320">
        <f>SUM(C184:C186)</f>
        <v>203522</v>
      </c>
      <c r="D183" s="320">
        <f>SUM(D184:D186)</f>
        <v>219503</v>
      </c>
      <c r="E183" s="320">
        <f>SUM(E184:E186)</f>
        <v>195751</v>
      </c>
      <c r="F183" s="321">
        <f>E183/D183*100</f>
        <v>89.17919117278579</v>
      </c>
      <c r="G183" s="311" t="s">
        <v>102</v>
      </c>
      <c r="H183" s="293" t="s">
        <v>382</v>
      </c>
      <c r="I183" s="303">
        <v>0</v>
      </c>
      <c r="J183" s="303">
        <v>0</v>
      </c>
      <c r="K183" s="303">
        <v>0</v>
      </c>
      <c r="L183" s="322"/>
    </row>
    <row r="184" spans="1:12" ht="12.75">
      <c r="A184" s="311" t="s">
        <v>383</v>
      </c>
      <c r="B184" s="293" t="s">
        <v>384</v>
      </c>
      <c r="C184" s="303">
        <v>186565</v>
      </c>
      <c r="D184" s="303">
        <v>180657</v>
      </c>
      <c r="E184" s="303">
        <v>194681</v>
      </c>
      <c r="F184" s="322">
        <f>E184/D184*100</f>
        <v>107.7627769751518</v>
      </c>
      <c r="G184" s="311" t="s">
        <v>103</v>
      </c>
      <c r="H184" s="293" t="s">
        <v>385</v>
      </c>
      <c r="I184" s="303">
        <v>370</v>
      </c>
      <c r="J184" s="303">
        <v>216</v>
      </c>
      <c r="K184" s="303">
        <v>252</v>
      </c>
      <c r="L184" s="322">
        <f>K184/J184*100</f>
        <v>116.66666666666667</v>
      </c>
    </row>
    <row r="185" spans="1:12" ht="12.75">
      <c r="A185" s="311" t="s">
        <v>386</v>
      </c>
      <c r="B185" s="293" t="s">
        <v>387</v>
      </c>
      <c r="C185" s="303">
        <v>16220</v>
      </c>
      <c r="D185" s="303">
        <v>38097</v>
      </c>
      <c r="E185" s="303">
        <v>0</v>
      </c>
      <c r="F185" s="322">
        <f>E185/D185*100</f>
        <v>0</v>
      </c>
      <c r="G185" s="311" t="s">
        <v>104</v>
      </c>
      <c r="H185" s="293" t="s">
        <v>388</v>
      </c>
      <c r="I185" s="303">
        <v>6749</v>
      </c>
      <c r="J185" s="303">
        <v>6494</v>
      </c>
      <c r="K185" s="303">
        <v>6056</v>
      </c>
      <c r="L185" s="322">
        <f>K185/J185*100</f>
        <v>93.25531259624269</v>
      </c>
    </row>
    <row r="186" spans="1:12" ht="12.75">
      <c r="A186" s="311" t="s">
        <v>389</v>
      </c>
      <c r="B186" s="293" t="s">
        <v>390</v>
      </c>
      <c r="C186" s="303">
        <v>737</v>
      </c>
      <c r="D186" s="303">
        <v>749</v>
      </c>
      <c r="E186" s="303">
        <v>1070</v>
      </c>
      <c r="F186" s="322">
        <f>E186/D186*100</f>
        <v>142.85714285714286</v>
      </c>
      <c r="G186" s="311"/>
      <c r="H186" s="293"/>
      <c r="I186" s="303"/>
      <c r="J186" s="303"/>
      <c r="K186" s="303"/>
      <c r="L186" s="322"/>
    </row>
    <row r="187" spans="1:12" ht="12.75">
      <c r="A187" s="317" t="s">
        <v>391</v>
      </c>
      <c r="B187" s="317" t="s">
        <v>392</v>
      </c>
      <c r="C187" s="303">
        <v>16445</v>
      </c>
      <c r="D187" s="303">
        <v>25607</v>
      </c>
      <c r="E187" s="303">
        <v>7054</v>
      </c>
      <c r="F187" s="322">
        <f>E187/D187*100</f>
        <v>27.54715507478424</v>
      </c>
      <c r="G187" s="317" t="s">
        <v>197</v>
      </c>
      <c r="H187" s="317" t="s">
        <v>393</v>
      </c>
      <c r="I187" s="303">
        <v>0</v>
      </c>
      <c r="J187" s="303"/>
      <c r="K187" s="303"/>
      <c r="L187" s="322"/>
    </row>
    <row r="188" spans="1:12" ht="12.75">
      <c r="A188" s="317" t="s">
        <v>394</v>
      </c>
      <c r="B188" s="317" t="s">
        <v>395</v>
      </c>
      <c r="C188" s="303">
        <v>0</v>
      </c>
      <c r="D188" s="303">
        <v>2754</v>
      </c>
      <c r="E188" s="303"/>
      <c r="F188" s="322"/>
      <c r="G188" s="317" t="s">
        <v>198</v>
      </c>
      <c r="H188" s="317" t="s">
        <v>396</v>
      </c>
      <c r="I188" s="303">
        <v>0</v>
      </c>
      <c r="J188" s="303"/>
      <c r="K188" s="303"/>
      <c r="L188" s="322"/>
    </row>
    <row r="189" spans="1:12" ht="12.75">
      <c r="A189" s="311"/>
      <c r="B189" s="293" t="s">
        <v>397</v>
      </c>
      <c r="C189" s="303"/>
      <c r="D189" s="303"/>
      <c r="E189" s="303"/>
      <c r="F189" s="322"/>
      <c r="G189" s="311" t="s">
        <v>100</v>
      </c>
      <c r="H189" s="293" t="s">
        <v>398</v>
      </c>
      <c r="I189" s="303"/>
      <c r="J189" s="303"/>
      <c r="K189" s="303"/>
      <c r="L189" s="322"/>
    </row>
    <row r="190" spans="1:12" ht="12.75">
      <c r="A190" s="317" t="s">
        <v>399</v>
      </c>
      <c r="B190" s="317" t="s">
        <v>400</v>
      </c>
      <c r="C190" s="320">
        <v>0</v>
      </c>
      <c r="D190" s="320">
        <v>0</v>
      </c>
      <c r="E190" s="320">
        <v>0</v>
      </c>
      <c r="F190" s="321"/>
      <c r="G190" s="311" t="s">
        <v>101</v>
      </c>
      <c r="H190" s="293" t="s">
        <v>401</v>
      </c>
      <c r="I190" s="303"/>
      <c r="J190" s="303"/>
      <c r="K190" s="303"/>
      <c r="L190" s="322"/>
    </row>
    <row r="191" spans="1:12" ht="12.75">
      <c r="A191" s="317" t="s">
        <v>198</v>
      </c>
      <c r="B191" s="317" t="s">
        <v>402</v>
      </c>
      <c r="C191" s="303"/>
      <c r="D191" s="303"/>
      <c r="E191" s="303"/>
      <c r="F191" s="322"/>
      <c r="G191" s="311"/>
      <c r="H191" s="293"/>
      <c r="I191" s="303"/>
      <c r="J191" s="303"/>
      <c r="K191" s="303"/>
      <c r="L191" s="322"/>
    </row>
    <row r="192" spans="1:12" ht="12.75">
      <c r="A192" s="311"/>
      <c r="B192" s="301" t="s">
        <v>403</v>
      </c>
      <c r="C192" s="304">
        <f>SUM(C177+C178+C183+C187+C188+C190+C191)</f>
        <v>228258</v>
      </c>
      <c r="D192" s="304">
        <f>SUM(D177+D178+D183+D187+D188+D190+D191)</f>
        <v>254146</v>
      </c>
      <c r="E192" s="304">
        <f>SUM(E177+E178+E183+E187+E188+E190+E191)</f>
        <v>214208</v>
      </c>
      <c r="F192" s="325">
        <f>E192/D192*100</f>
        <v>84.28541074815263</v>
      </c>
      <c r="G192" s="311"/>
      <c r="H192" s="301" t="s">
        <v>404</v>
      </c>
      <c r="I192" s="304">
        <f>SUM(I177+I178+I179+I180+I187+I188)</f>
        <v>289309</v>
      </c>
      <c r="J192" s="304">
        <f>SUM(J177+J178+J179+J180+J187+J188)</f>
        <v>287700</v>
      </c>
      <c r="K192" s="304">
        <f>SUM(K177+K178+K179+K180)</f>
        <v>274896</v>
      </c>
      <c r="L192" s="326">
        <f>K192/J192*100</f>
        <v>95.5495307612096</v>
      </c>
    </row>
    <row r="193" spans="1:12" ht="12.75">
      <c r="A193" s="311"/>
      <c r="B193" s="327" t="s">
        <v>405</v>
      </c>
      <c r="C193" s="328">
        <f>I194-C192</f>
        <v>95278</v>
      </c>
      <c r="D193" s="328">
        <f>J194-D192</f>
        <v>63098</v>
      </c>
      <c r="E193" s="328">
        <f>K194-E192</f>
        <v>92078</v>
      </c>
      <c r="F193" s="322">
        <f>E193/D193*100</f>
        <v>145.92855558020855</v>
      </c>
      <c r="G193" s="311"/>
      <c r="H193" s="293" t="s">
        <v>406</v>
      </c>
      <c r="I193" s="328">
        <v>34227</v>
      </c>
      <c r="J193" s="328">
        <v>29544</v>
      </c>
      <c r="K193" s="328">
        <f>32055-665</f>
        <v>31390</v>
      </c>
      <c r="L193" s="322">
        <f>K193/J193*100</f>
        <v>106.24830760898998</v>
      </c>
    </row>
    <row r="194" spans="1:12" ht="12.75">
      <c r="A194" s="311"/>
      <c r="B194" s="317" t="s">
        <v>407</v>
      </c>
      <c r="C194" s="303"/>
      <c r="D194" s="303"/>
      <c r="E194" s="303"/>
      <c r="F194" s="322"/>
      <c r="G194" s="311"/>
      <c r="H194" s="301" t="s">
        <v>408</v>
      </c>
      <c r="I194" s="304">
        <f>SUM(I192:I193)</f>
        <v>323536</v>
      </c>
      <c r="J194" s="304">
        <f>SUM(J192:J193)</f>
        <v>317244</v>
      </c>
      <c r="K194" s="304">
        <f>SUM(K192:K193)</f>
        <v>306286</v>
      </c>
      <c r="L194" s="326">
        <f>K194/J194*100</f>
        <v>96.54587636015181</v>
      </c>
    </row>
    <row r="195" spans="1:12" ht="12.75">
      <c r="A195" s="317" t="s">
        <v>409</v>
      </c>
      <c r="B195" s="317" t="s">
        <v>410</v>
      </c>
      <c r="C195" s="303">
        <v>0</v>
      </c>
      <c r="D195" s="303"/>
      <c r="E195" s="303"/>
      <c r="F195" s="322"/>
      <c r="G195" s="311"/>
      <c r="H195" s="327" t="s">
        <v>411</v>
      </c>
      <c r="I195" s="303"/>
      <c r="J195" s="303"/>
      <c r="K195" s="303"/>
      <c r="L195" s="322"/>
    </row>
    <row r="196" spans="1:12" ht="12.75">
      <c r="A196" s="317" t="s">
        <v>412</v>
      </c>
      <c r="B196" s="317" t="s">
        <v>413</v>
      </c>
      <c r="C196" s="303"/>
      <c r="D196" s="303"/>
      <c r="E196" s="303"/>
      <c r="F196" s="322"/>
      <c r="G196" s="311"/>
      <c r="H196" s="317" t="s">
        <v>94</v>
      </c>
      <c r="I196" s="303"/>
      <c r="J196" s="303"/>
      <c r="K196" s="303"/>
      <c r="L196" s="322"/>
    </row>
    <row r="197" spans="1:12" ht="12.75">
      <c r="A197" s="317" t="s">
        <v>414</v>
      </c>
      <c r="B197" s="317" t="s">
        <v>415</v>
      </c>
      <c r="C197" s="303"/>
      <c r="D197" s="303"/>
      <c r="E197" s="303"/>
      <c r="F197" s="322"/>
      <c r="G197" s="317" t="s">
        <v>194</v>
      </c>
      <c r="H197" s="317" t="s">
        <v>416</v>
      </c>
      <c r="I197" s="303"/>
      <c r="J197" s="303"/>
      <c r="K197" s="303"/>
      <c r="L197" s="322"/>
    </row>
    <row r="198" spans="1:12" ht="12.75">
      <c r="A198" s="317" t="s">
        <v>417</v>
      </c>
      <c r="B198" s="317" t="s">
        <v>193</v>
      </c>
      <c r="C198" s="303"/>
      <c r="D198" s="303"/>
      <c r="E198" s="303"/>
      <c r="F198" s="322"/>
      <c r="G198" s="317" t="s">
        <v>195</v>
      </c>
      <c r="H198" s="317" t="s">
        <v>377</v>
      </c>
      <c r="I198" s="303"/>
      <c r="J198" s="303"/>
      <c r="K198" s="303"/>
      <c r="L198" s="322"/>
    </row>
    <row r="199" spans="1:12" ht="12.75">
      <c r="A199" s="317" t="s">
        <v>194</v>
      </c>
      <c r="B199" s="317" t="s">
        <v>418</v>
      </c>
      <c r="C199" s="303">
        <v>0</v>
      </c>
      <c r="D199" s="303">
        <v>0</v>
      </c>
      <c r="E199" s="303"/>
      <c r="F199" s="322"/>
      <c r="G199" s="311" t="s">
        <v>100</v>
      </c>
      <c r="H199" s="293" t="s">
        <v>96</v>
      </c>
      <c r="I199" s="303"/>
      <c r="J199" s="303"/>
      <c r="K199" s="303"/>
      <c r="L199" s="322"/>
    </row>
    <row r="200" spans="1:12" ht="12.75">
      <c r="A200" s="311" t="s">
        <v>100</v>
      </c>
      <c r="B200" s="330" t="s">
        <v>419</v>
      </c>
      <c r="C200" s="303"/>
      <c r="D200" s="303"/>
      <c r="E200" s="303"/>
      <c r="F200" s="322"/>
      <c r="G200" s="311" t="s">
        <v>101</v>
      </c>
      <c r="H200" s="293" t="s">
        <v>420</v>
      </c>
      <c r="I200" s="303"/>
      <c r="J200" s="303"/>
      <c r="K200" s="303"/>
      <c r="L200" s="322"/>
    </row>
    <row r="201" spans="1:12" ht="12.75">
      <c r="A201" s="311" t="s">
        <v>101</v>
      </c>
      <c r="B201" s="330" t="s">
        <v>421</v>
      </c>
      <c r="C201" s="303"/>
      <c r="D201" s="303"/>
      <c r="E201" s="303"/>
      <c r="F201" s="322"/>
      <c r="G201" s="317" t="s">
        <v>196</v>
      </c>
      <c r="H201" s="317" t="s">
        <v>422</v>
      </c>
      <c r="I201" s="303"/>
      <c r="J201" s="303"/>
      <c r="K201" s="303"/>
      <c r="L201" s="322"/>
    </row>
    <row r="202" spans="1:12" ht="12.75">
      <c r="A202" s="311" t="s">
        <v>102</v>
      </c>
      <c r="B202" s="330" t="s">
        <v>161</v>
      </c>
      <c r="C202" s="303"/>
      <c r="D202" s="303"/>
      <c r="E202" s="303"/>
      <c r="F202" s="322"/>
      <c r="G202" s="311" t="s">
        <v>100</v>
      </c>
      <c r="H202" s="330" t="s">
        <v>117</v>
      </c>
      <c r="I202" s="303"/>
      <c r="J202" s="303"/>
      <c r="K202" s="303"/>
      <c r="L202" s="322"/>
    </row>
    <row r="203" spans="1:12" ht="12.75">
      <c r="A203" s="317" t="s">
        <v>423</v>
      </c>
      <c r="B203" s="317" t="s">
        <v>424</v>
      </c>
      <c r="C203" s="303">
        <v>0</v>
      </c>
      <c r="D203" s="303"/>
      <c r="E203" s="303"/>
      <c r="F203" s="322"/>
      <c r="G203" s="311" t="s">
        <v>101</v>
      </c>
      <c r="H203" s="330" t="s">
        <v>97</v>
      </c>
      <c r="I203" s="303"/>
      <c r="J203" s="303"/>
      <c r="K203" s="303"/>
      <c r="L203" s="322"/>
    </row>
    <row r="204" spans="1:12" ht="12.75">
      <c r="A204" s="317" t="s">
        <v>425</v>
      </c>
      <c r="B204" s="317" t="s">
        <v>426</v>
      </c>
      <c r="C204" s="303">
        <v>0</v>
      </c>
      <c r="D204" s="303"/>
      <c r="E204" s="303"/>
      <c r="F204" s="322"/>
      <c r="G204" s="311" t="s">
        <v>102</v>
      </c>
      <c r="H204" s="293" t="s">
        <v>163</v>
      </c>
      <c r="I204" s="303"/>
      <c r="J204" s="303"/>
      <c r="K204" s="303"/>
      <c r="L204" s="322"/>
    </row>
    <row r="205" spans="1:12" ht="12.75">
      <c r="A205" s="317" t="s">
        <v>196</v>
      </c>
      <c r="B205" s="317" t="s">
        <v>427</v>
      </c>
      <c r="C205" s="303">
        <v>0</v>
      </c>
      <c r="D205" s="303">
        <v>0</v>
      </c>
      <c r="E205" s="303">
        <v>0</v>
      </c>
      <c r="F205" s="322"/>
      <c r="G205" s="317" t="s">
        <v>197</v>
      </c>
      <c r="H205" s="317" t="s">
        <v>428</v>
      </c>
      <c r="I205" s="303"/>
      <c r="J205" s="303"/>
      <c r="K205" s="303"/>
      <c r="L205" s="322"/>
    </row>
    <row r="206" spans="1:12" ht="12.75">
      <c r="A206" s="317" t="s">
        <v>197</v>
      </c>
      <c r="B206" s="317" t="s">
        <v>428</v>
      </c>
      <c r="C206" s="303">
        <v>0</v>
      </c>
      <c r="D206" s="303">
        <v>0</v>
      </c>
      <c r="E206" s="303">
        <v>0</v>
      </c>
      <c r="F206" s="322"/>
      <c r="G206" s="317" t="s">
        <v>198</v>
      </c>
      <c r="H206" s="317" t="s">
        <v>396</v>
      </c>
      <c r="I206" s="303"/>
      <c r="J206" s="303"/>
      <c r="K206" s="303"/>
      <c r="L206" s="322"/>
    </row>
    <row r="207" spans="1:12" ht="12.75">
      <c r="A207" s="317" t="s">
        <v>198</v>
      </c>
      <c r="B207" s="317" t="s">
        <v>402</v>
      </c>
      <c r="C207" s="303"/>
      <c r="D207" s="303">
        <v>0</v>
      </c>
      <c r="E207" s="303">
        <v>0</v>
      </c>
      <c r="F207" s="322"/>
      <c r="G207" s="311" t="s">
        <v>100</v>
      </c>
      <c r="H207" s="293" t="s">
        <v>398</v>
      </c>
      <c r="I207" s="303">
        <v>0</v>
      </c>
      <c r="J207" s="303"/>
      <c r="K207" s="303"/>
      <c r="L207" s="322"/>
    </row>
    <row r="208" spans="1:12" ht="12.75">
      <c r="A208" s="311"/>
      <c r="B208" s="301" t="s">
        <v>429</v>
      </c>
      <c r="C208" s="304">
        <f>SUM(C205:C207)</f>
        <v>0</v>
      </c>
      <c r="D208" s="304">
        <f>SUM(D194+D195+D196+D197+D198+D199+D203+D204+D205+D206+D207)</f>
        <v>0</v>
      </c>
      <c r="E208" s="304">
        <f>SUM(E205:E207)</f>
        <v>0</v>
      </c>
      <c r="F208" s="326"/>
      <c r="G208" s="311" t="s">
        <v>441</v>
      </c>
      <c r="H208" s="301" t="s">
        <v>430</v>
      </c>
      <c r="I208" s="304">
        <f>SUM(I205:I207)</f>
        <v>0</v>
      </c>
      <c r="J208" s="304">
        <f>SUM(J205:J207)</f>
        <v>0</v>
      </c>
      <c r="K208" s="304">
        <f>SUM(K205:K207)</f>
        <v>0</v>
      </c>
      <c r="L208" s="326"/>
    </row>
    <row r="209" spans="1:12" ht="12.75">
      <c r="A209" s="311"/>
      <c r="B209" s="327" t="s">
        <v>433</v>
      </c>
      <c r="C209" s="328">
        <f>I208-C208</f>
        <v>0</v>
      </c>
      <c r="D209" s="328">
        <f>J208-D208</f>
        <v>0</v>
      </c>
      <c r="E209" s="328"/>
      <c r="F209" s="331"/>
      <c r="G209" s="311" t="s">
        <v>442</v>
      </c>
      <c r="H209" s="293" t="s">
        <v>434</v>
      </c>
      <c r="I209" s="303"/>
      <c r="J209" s="303"/>
      <c r="K209" s="303">
        <f>E208-K208</f>
        <v>0</v>
      </c>
      <c r="L209" s="322"/>
    </row>
    <row r="210" spans="1:12" ht="13.5">
      <c r="A210" s="311"/>
      <c r="B210" s="332" t="s">
        <v>435</v>
      </c>
      <c r="C210" s="333">
        <f>SUM(C209+C193)</f>
        <v>95278</v>
      </c>
      <c r="D210" s="333">
        <f>SUM(D209+D193)</f>
        <v>63098</v>
      </c>
      <c r="E210" s="333">
        <f>SUM(E209+E193)</f>
        <v>92078</v>
      </c>
      <c r="F210" s="334"/>
      <c r="G210" s="311" t="s">
        <v>443</v>
      </c>
      <c r="H210" s="332" t="s">
        <v>436</v>
      </c>
      <c r="I210" s="303"/>
      <c r="J210" s="303"/>
      <c r="K210" s="320"/>
      <c r="L210" s="322"/>
    </row>
    <row r="211" spans="1:12" ht="12.75">
      <c r="A211" s="311"/>
      <c r="B211" s="301" t="s">
        <v>456</v>
      </c>
      <c r="C211" s="304">
        <f>SUM(C208+C192+C210)</f>
        <v>323536</v>
      </c>
      <c r="D211" s="304">
        <f>SUM(D208+D192+D210)</f>
        <v>317244</v>
      </c>
      <c r="E211" s="304">
        <f>SUM(E208+E192+E210)</f>
        <v>306286</v>
      </c>
      <c r="F211" s="326">
        <f>E211/D211*100</f>
        <v>96.54587636015181</v>
      </c>
      <c r="G211" s="311" t="s">
        <v>445</v>
      </c>
      <c r="H211" s="301" t="s">
        <v>456</v>
      </c>
      <c r="I211" s="304">
        <f>SUM(I194,I208,I210)</f>
        <v>323536</v>
      </c>
      <c r="J211" s="304">
        <f>SUM(J194,J208,J210)</f>
        <v>317244</v>
      </c>
      <c r="K211" s="304">
        <f>SUM(K194,K208,K210)</f>
        <v>306286</v>
      </c>
      <c r="L211" s="326">
        <f>K211/J211*100</f>
        <v>96.54587636015181</v>
      </c>
    </row>
    <row r="212" spans="1:12" ht="12.75">
      <c r="A212" s="564" t="s">
        <v>457</v>
      </c>
      <c r="B212" s="564"/>
      <c r="C212" s="564"/>
      <c r="D212" s="564"/>
      <c r="E212" s="564"/>
      <c r="F212" s="564"/>
      <c r="G212" s="564"/>
      <c r="H212" s="564"/>
      <c r="I212" s="564"/>
      <c r="J212" s="564"/>
      <c r="K212" s="564"/>
      <c r="L212" s="564"/>
    </row>
    <row r="213" spans="1:12" ht="26.25" customHeight="1">
      <c r="A213" s="564"/>
      <c r="B213" s="564"/>
      <c r="C213" s="564"/>
      <c r="D213" s="564"/>
      <c r="E213" s="564"/>
      <c r="F213" s="564"/>
      <c r="G213" s="564"/>
      <c r="H213" s="564"/>
      <c r="I213" s="564"/>
      <c r="J213" s="564"/>
      <c r="K213" s="564"/>
      <c r="L213" s="564"/>
    </row>
    <row r="214" spans="1:12" ht="15.75">
      <c r="A214" s="315" t="s">
        <v>447</v>
      </c>
      <c r="C214" s="335" t="s">
        <v>455</v>
      </c>
      <c r="I214" s="565" t="s">
        <v>364</v>
      </c>
      <c r="J214" s="566"/>
      <c r="K214" s="566"/>
      <c r="L214" s="566"/>
    </row>
    <row r="215" spans="1:12" ht="12.75">
      <c r="A215" s="567" t="s">
        <v>365</v>
      </c>
      <c r="B215" s="569" t="s">
        <v>142</v>
      </c>
      <c r="C215" s="571" t="s">
        <v>366</v>
      </c>
      <c r="D215" s="571" t="s">
        <v>367</v>
      </c>
      <c r="E215" s="571" t="s">
        <v>155</v>
      </c>
      <c r="F215" s="559" t="s">
        <v>368</v>
      </c>
      <c r="G215" s="567" t="s">
        <v>365</v>
      </c>
      <c r="H215" s="569" t="s">
        <v>369</v>
      </c>
      <c r="I215" s="571" t="s">
        <v>366</v>
      </c>
      <c r="J215" s="571" t="s">
        <v>367</v>
      </c>
      <c r="K215" s="571" t="s">
        <v>155</v>
      </c>
      <c r="L215" s="559" t="s">
        <v>368</v>
      </c>
    </row>
    <row r="216" spans="1:12" ht="12.75">
      <c r="A216" s="567"/>
      <c r="B216" s="569"/>
      <c r="C216" s="572"/>
      <c r="D216" s="572"/>
      <c r="E216" s="572"/>
      <c r="F216" s="560"/>
      <c r="G216" s="567"/>
      <c r="H216" s="569"/>
      <c r="I216" s="572"/>
      <c r="J216" s="572"/>
      <c r="K216" s="572"/>
      <c r="L216" s="560"/>
    </row>
    <row r="217" spans="1:12" ht="12.75">
      <c r="A217" s="568"/>
      <c r="B217" s="570"/>
      <c r="C217" s="573"/>
      <c r="D217" s="573"/>
      <c r="E217" s="573"/>
      <c r="F217" s="553"/>
      <c r="G217" s="568"/>
      <c r="H217" s="570"/>
      <c r="I217" s="573"/>
      <c r="J217" s="573"/>
      <c r="K217" s="573"/>
      <c r="L217" s="553"/>
    </row>
    <row r="218" spans="1:12" ht="12.75">
      <c r="A218" s="317" t="s">
        <v>88</v>
      </c>
      <c r="B218" s="317" t="s">
        <v>185</v>
      </c>
      <c r="C218" s="318"/>
      <c r="D218" s="318"/>
      <c r="E218" s="318"/>
      <c r="F218" s="317"/>
      <c r="G218" s="317"/>
      <c r="H218" s="317" t="s">
        <v>91</v>
      </c>
      <c r="I218" s="318">
        <f>SUM(I219:I221,I222,I229,I230)</f>
        <v>117707</v>
      </c>
      <c r="J218" s="318">
        <f>SUM(J219:J221,J222,J229,J230)</f>
        <v>110248</v>
      </c>
      <c r="K218" s="318">
        <f>SUM(K219:K221,K222,K229,K230)</f>
        <v>105524</v>
      </c>
      <c r="L218" s="319">
        <f>K218/J218*100</f>
        <v>95.71511501342428</v>
      </c>
    </row>
    <row r="219" spans="1:12" ht="12.75">
      <c r="A219" s="311" t="s">
        <v>100</v>
      </c>
      <c r="B219" s="296" t="s">
        <v>370</v>
      </c>
      <c r="C219" s="320">
        <v>6657</v>
      </c>
      <c r="D219" s="320">
        <v>5916</v>
      </c>
      <c r="E219" s="320">
        <v>8932</v>
      </c>
      <c r="F219" s="321">
        <f>E219/D219*100</f>
        <v>150.98039215686273</v>
      </c>
      <c r="G219" s="317" t="s">
        <v>88</v>
      </c>
      <c r="H219" s="317" t="s">
        <v>92</v>
      </c>
      <c r="I219" s="303">
        <v>80544</v>
      </c>
      <c r="J219" s="303">
        <v>76511</v>
      </c>
      <c r="K219" s="303">
        <f>71432-2475</f>
        <v>68957</v>
      </c>
      <c r="L219" s="322">
        <f>K219/J219*100</f>
        <v>90.12690985609912</v>
      </c>
    </row>
    <row r="220" spans="1:12" ht="12.75">
      <c r="A220" s="311" t="s">
        <v>101</v>
      </c>
      <c r="B220" s="296" t="s">
        <v>371</v>
      </c>
      <c r="C220" s="320">
        <v>0</v>
      </c>
      <c r="D220" s="320">
        <v>0</v>
      </c>
      <c r="E220" s="320">
        <v>0</v>
      </c>
      <c r="F220" s="321"/>
      <c r="G220" s="317" t="s">
        <v>372</v>
      </c>
      <c r="H220" s="317" t="s">
        <v>93</v>
      </c>
      <c r="I220" s="303">
        <v>24803</v>
      </c>
      <c r="J220" s="303">
        <v>24452</v>
      </c>
      <c r="K220" s="303">
        <v>22438</v>
      </c>
      <c r="L220" s="322">
        <f>K220/J220*100</f>
        <v>91.76345493211188</v>
      </c>
    </row>
    <row r="221" spans="1:12" ht="12.75">
      <c r="A221" s="323" t="s">
        <v>373</v>
      </c>
      <c r="B221" s="293" t="s">
        <v>374</v>
      </c>
      <c r="C221" s="303">
        <v>0</v>
      </c>
      <c r="D221" s="303">
        <v>0</v>
      </c>
      <c r="E221" s="303">
        <v>0</v>
      </c>
      <c r="F221" s="322"/>
      <c r="G221" s="317" t="s">
        <v>194</v>
      </c>
      <c r="H221" s="317" t="s">
        <v>269</v>
      </c>
      <c r="I221" s="303">
        <v>12360</v>
      </c>
      <c r="J221" s="303">
        <v>8130</v>
      </c>
      <c r="K221" s="303">
        <v>10489</v>
      </c>
      <c r="L221" s="322">
        <f>K221/J221*100</f>
        <v>129.0159901599016</v>
      </c>
    </row>
    <row r="222" spans="1:12" ht="12.75">
      <c r="A222" s="323" t="s">
        <v>375</v>
      </c>
      <c r="B222" s="293" t="s">
        <v>376</v>
      </c>
      <c r="C222" s="303"/>
      <c r="D222" s="303"/>
      <c r="E222" s="303"/>
      <c r="F222" s="322"/>
      <c r="G222" s="317" t="s">
        <v>195</v>
      </c>
      <c r="H222" s="317" t="s">
        <v>377</v>
      </c>
      <c r="I222" s="303"/>
      <c r="J222" s="303">
        <f>SUM(J223:J227)</f>
        <v>1155</v>
      </c>
      <c r="K222" s="303">
        <f>SUM(K223:K227)</f>
        <v>3640</v>
      </c>
      <c r="L222" s="322"/>
    </row>
    <row r="223" spans="1:12" ht="12.75">
      <c r="A223" s="323" t="s">
        <v>378</v>
      </c>
      <c r="B223" s="293" t="s">
        <v>379</v>
      </c>
      <c r="C223" s="303"/>
      <c r="D223" s="303"/>
      <c r="E223" s="303"/>
      <c r="F223" s="322"/>
      <c r="G223" s="311" t="s">
        <v>100</v>
      </c>
      <c r="H223" s="293" t="s">
        <v>96</v>
      </c>
      <c r="I223" s="303"/>
      <c r="J223" s="303">
        <v>1155</v>
      </c>
      <c r="K223" s="303">
        <v>3640</v>
      </c>
      <c r="L223" s="322"/>
    </row>
    <row r="224" spans="1:12" ht="12.75">
      <c r="A224" s="324" t="s">
        <v>192</v>
      </c>
      <c r="B224" s="317" t="s">
        <v>186</v>
      </c>
      <c r="C224" s="303"/>
      <c r="D224" s="303"/>
      <c r="E224" s="303"/>
      <c r="F224" s="322"/>
      <c r="G224" s="311" t="s">
        <v>101</v>
      </c>
      <c r="H224" s="293" t="s">
        <v>380</v>
      </c>
      <c r="I224" s="303"/>
      <c r="J224" s="303"/>
      <c r="K224" s="303"/>
      <c r="L224" s="322"/>
    </row>
    <row r="225" spans="1:12" ht="12.75">
      <c r="A225" s="311" t="s">
        <v>100</v>
      </c>
      <c r="B225" s="296" t="s">
        <v>381</v>
      </c>
      <c r="C225" s="320">
        <f>SUM(C226:C228)</f>
        <v>87432</v>
      </c>
      <c r="D225" s="320">
        <f>SUM(D226:D228)</f>
        <v>96542</v>
      </c>
      <c r="E225" s="320">
        <f>SUM(E226:E228)</f>
        <v>76932</v>
      </c>
      <c r="F225" s="321">
        <f>E225/D225*100</f>
        <v>79.68759710799445</v>
      </c>
      <c r="G225" s="311" t="s">
        <v>102</v>
      </c>
      <c r="H225" s="293" t="s">
        <v>382</v>
      </c>
      <c r="I225" s="303">
        <v>0</v>
      </c>
      <c r="J225" s="303">
        <v>0</v>
      </c>
      <c r="K225" s="303">
        <v>0</v>
      </c>
      <c r="L225" s="322"/>
    </row>
    <row r="226" spans="1:12" ht="12.75">
      <c r="A226" s="311" t="s">
        <v>383</v>
      </c>
      <c r="B226" s="293" t="s">
        <v>384</v>
      </c>
      <c r="C226" s="303">
        <v>80416</v>
      </c>
      <c r="D226" s="303">
        <v>81145</v>
      </c>
      <c r="E226" s="303">
        <v>76639</v>
      </c>
      <c r="F226" s="322">
        <f>E226/D226*100</f>
        <v>94.44697763263295</v>
      </c>
      <c r="G226" s="311" t="s">
        <v>103</v>
      </c>
      <c r="H226" s="293" t="s">
        <v>385</v>
      </c>
      <c r="I226" s="303">
        <v>0</v>
      </c>
      <c r="J226" s="303">
        <v>0</v>
      </c>
      <c r="K226" s="303">
        <v>0</v>
      </c>
      <c r="L226" s="322"/>
    </row>
    <row r="227" spans="1:12" ht="12.75">
      <c r="A227" s="311" t="s">
        <v>386</v>
      </c>
      <c r="B227" s="293" t="s">
        <v>387</v>
      </c>
      <c r="C227" s="303">
        <v>6758</v>
      </c>
      <c r="D227" s="303">
        <v>15105</v>
      </c>
      <c r="E227" s="303">
        <v>0</v>
      </c>
      <c r="F227" s="322">
        <f>E227/D227*100</f>
        <v>0</v>
      </c>
      <c r="G227" s="311" t="s">
        <v>104</v>
      </c>
      <c r="H227" s="293" t="s">
        <v>388</v>
      </c>
      <c r="I227" s="303">
        <v>0</v>
      </c>
      <c r="J227" s="303">
        <v>0</v>
      </c>
      <c r="K227" s="303">
        <v>0</v>
      </c>
      <c r="L227" s="322"/>
    </row>
    <row r="228" spans="1:12" ht="12.75">
      <c r="A228" s="311" t="s">
        <v>389</v>
      </c>
      <c r="B228" s="293" t="s">
        <v>390</v>
      </c>
      <c r="C228" s="303">
        <v>258</v>
      </c>
      <c r="D228" s="303">
        <v>292</v>
      </c>
      <c r="E228" s="303">
        <v>293</v>
      </c>
      <c r="F228" s="322">
        <f>E228/D228*100</f>
        <v>100.34246575342465</v>
      </c>
      <c r="G228" s="311"/>
      <c r="H228" s="293"/>
      <c r="I228" s="303"/>
      <c r="J228" s="303"/>
      <c r="K228" s="303"/>
      <c r="L228" s="322"/>
    </row>
    <row r="229" spans="1:12" ht="12.75">
      <c r="A229" s="317" t="s">
        <v>391</v>
      </c>
      <c r="B229" s="317" t="s">
        <v>392</v>
      </c>
      <c r="C229" s="303"/>
      <c r="D229" s="303">
        <v>2994</v>
      </c>
      <c r="E229" s="303">
        <v>9577</v>
      </c>
      <c r="F229" s="322">
        <f>E229/D229*100</f>
        <v>319.87307949231797</v>
      </c>
      <c r="G229" s="317" t="s">
        <v>197</v>
      </c>
      <c r="H229" s="317" t="s">
        <v>393</v>
      </c>
      <c r="I229" s="303"/>
      <c r="J229" s="303"/>
      <c r="K229" s="303"/>
      <c r="L229" s="322"/>
    </row>
    <row r="230" spans="1:12" ht="12.75">
      <c r="A230" s="317" t="s">
        <v>394</v>
      </c>
      <c r="B230" s="317" t="s">
        <v>395</v>
      </c>
      <c r="C230" s="303"/>
      <c r="D230" s="303"/>
      <c r="E230" s="303"/>
      <c r="F230" s="322"/>
      <c r="G230" s="317" t="s">
        <v>198</v>
      </c>
      <c r="H230" s="317" t="s">
        <v>396</v>
      </c>
      <c r="I230" s="303"/>
      <c r="J230" s="303"/>
      <c r="K230" s="303"/>
      <c r="L230" s="322"/>
    </row>
    <row r="231" spans="1:12" ht="12.75">
      <c r="A231" s="311"/>
      <c r="B231" s="293" t="s">
        <v>397</v>
      </c>
      <c r="C231" s="303"/>
      <c r="D231" s="303"/>
      <c r="E231" s="303"/>
      <c r="F231" s="322"/>
      <c r="G231" s="311" t="s">
        <v>100</v>
      </c>
      <c r="H231" s="293" t="s">
        <v>398</v>
      </c>
      <c r="I231" s="303"/>
      <c r="J231" s="303"/>
      <c r="K231" s="303"/>
      <c r="L231" s="322"/>
    </row>
    <row r="232" spans="1:12" ht="12.75">
      <c r="A232" s="317" t="s">
        <v>399</v>
      </c>
      <c r="B232" s="317" t="s">
        <v>400</v>
      </c>
      <c r="C232" s="320">
        <v>0</v>
      </c>
      <c r="D232" s="320">
        <v>0</v>
      </c>
      <c r="E232" s="320">
        <v>0</v>
      </c>
      <c r="F232" s="321"/>
      <c r="G232" s="311" t="s">
        <v>101</v>
      </c>
      <c r="H232" s="293" t="s">
        <v>401</v>
      </c>
      <c r="I232" s="303"/>
      <c r="J232" s="303"/>
      <c r="K232" s="303"/>
      <c r="L232" s="322"/>
    </row>
    <row r="233" spans="1:12" ht="12.75">
      <c r="A233" s="317" t="s">
        <v>198</v>
      </c>
      <c r="B233" s="317" t="s">
        <v>402</v>
      </c>
      <c r="C233" s="303"/>
      <c r="D233" s="303"/>
      <c r="E233" s="303"/>
      <c r="F233" s="322"/>
      <c r="G233" s="311"/>
      <c r="H233" s="293"/>
      <c r="I233" s="303"/>
      <c r="J233" s="303"/>
      <c r="K233" s="303"/>
      <c r="L233" s="322"/>
    </row>
    <row r="234" spans="1:12" ht="12.75">
      <c r="A234" s="311"/>
      <c r="B234" s="301" t="s">
        <v>403</v>
      </c>
      <c r="C234" s="304">
        <f>SUM(C219+C220+C225+C229+C230+C232+C233)</f>
        <v>94089</v>
      </c>
      <c r="D234" s="304">
        <f>SUM(D219+D220+D225+D229+D230+D232+D233)</f>
        <v>105452</v>
      </c>
      <c r="E234" s="304">
        <f>SUM(E219+E220+E225+E229+E230+E232+E233)</f>
        <v>95441</v>
      </c>
      <c r="F234" s="325">
        <f>E234/D234*100</f>
        <v>90.50658119333916</v>
      </c>
      <c r="G234" s="311"/>
      <c r="H234" s="301" t="s">
        <v>404</v>
      </c>
      <c r="I234" s="304">
        <f>SUM(I219:I221)</f>
        <v>117707</v>
      </c>
      <c r="J234" s="304">
        <f>SUM(J219+J220+J221+J222)</f>
        <v>110248</v>
      </c>
      <c r="K234" s="304">
        <f>SUM(K219+K220+K221+K222)</f>
        <v>105524</v>
      </c>
      <c r="L234" s="326">
        <f>K234/J234*100</f>
        <v>95.71511501342428</v>
      </c>
    </row>
    <row r="235" spans="1:12" ht="12.75">
      <c r="A235" s="311"/>
      <c r="B235" s="327" t="s">
        <v>405</v>
      </c>
      <c r="C235" s="328">
        <f>I236-C234</f>
        <v>46430</v>
      </c>
      <c r="D235" s="328">
        <f>J236-D234</f>
        <v>26541</v>
      </c>
      <c r="E235" s="328">
        <f>K236-E234</f>
        <v>30938</v>
      </c>
      <c r="F235" s="322">
        <f>E235/D235*100</f>
        <v>116.56682114464414</v>
      </c>
      <c r="G235" s="311"/>
      <c r="H235" s="293" t="s">
        <v>406</v>
      </c>
      <c r="I235" s="328">
        <v>22812</v>
      </c>
      <c r="J235" s="328">
        <v>21745</v>
      </c>
      <c r="K235" s="328">
        <f>21140-285</f>
        <v>20855</v>
      </c>
      <c r="L235" s="322">
        <f>K235/J235*100</f>
        <v>95.90710508162796</v>
      </c>
    </row>
    <row r="236" spans="1:12" ht="12.75">
      <c r="A236" s="311"/>
      <c r="B236" s="317" t="s">
        <v>407</v>
      </c>
      <c r="C236" s="303"/>
      <c r="D236" s="303"/>
      <c r="E236" s="303"/>
      <c r="F236" s="322"/>
      <c r="G236" s="311"/>
      <c r="H236" s="301" t="s">
        <v>408</v>
      </c>
      <c r="I236" s="304">
        <f>SUM(I234:I235)</f>
        <v>140519</v>
      </c>
      <c r="J236" s="304">
        <f>SUM(J234:J235)</f>
        <v>131993</v>
      </c>
      <c r="K236" s="304">
        <f>SUM(K234:K235)</f>
        <v>126379</v>
      </c>
      <c r="L236" s="326">
        <f>K236/J236*100</f>
        <v>95.74674414552287</v>
      </c>
    </row>
    <row r="237" spans="1:12" ht="12.75">
      <c r="A237" s="317" t="s">
        <v>409</v>
      </c>
      <c r="B237" s="317" t="s">
        <v>410</v>
      </c>
      <c r="C237" s="303">
        <v>0</v>
      </c>
      <c r="D237" s="303"/>
      <c r="E237" s="303"/>
      <c r="F237" s="322"/>
      <c r="G237" s="311"/>
      <c r="H237" s="327" t="s">
        <v>411</v>
      </c>
      <c r="I237" s="303"/>
      <c r="J237" s="303"/>
      <c r="K237" s="303"/>
      <c r="L237" s="322"/>
    </row>
    <row r="238" spans="1:12" ht="12.75">
      <c r="A238" s="317" t="s">
        <v>412</v>
      </c>
      <c r="B238" s="317" t="s">
        <v>413</v>
      </c>
      <c r="C238" s="303"/>
      <c r="D238" s="303"/>
      <c r="E238" s="303"/>
      <c r="F238" s="322"/>
      <c r="G238" s="311"/>
      <c r="H238" s="317" t="s">
        <v>94</v>
      </c>
      <c r="I238" s="303"/>
      <c r="J238" s="303"/>
      <c r="K238" s="303"/>
      <c r="L238" s="322"/>
    </row>
    <row r="239" spans="1:12" ht="12.75">
      <c r="A239" s="317" t="s">
        <v>414</v>
      </c>
      <c r="B239" s="317" t="s">
        <v>415</v>
      </c>
      <c r="C239" s="303"/>
      <c r="D239" s="303"/>
      <c r="E239" s="303"/>
      <c r="F239" s="322"/>
      <c r="G239" s="317" t="s">
        <v>194</v>
      </c>
      <c r="H239" s="317" t="s">
        <v>416</v>
      </c>
      <c r="I239" s="303"/>
      <c r="J239" s="303"/>
      <c r="K239" s="303"/>
      <c r="L239" s="322"/>
    </row>
    <row r="240" spans="1:12" ht="12.75">
      <c r="A240" s="317" t="s">
        <v>417</v>
      </c>
      <c r="B240" s="317" t="s">
        <v>193</v>
      </c>
      <c r="C240" s="303"/>
      <c r="D240" s="303"/>
      <c r="E240" s="303"/>
      <c r="F240" s="322"/>
      <c r="G240" s="317" t="s">
        <v>195</v>
      </c>
      <c r="H240" s="317" t="s">
        <v>377</v>
      </c>
      <c r="I240" s="303"/>
      <c r="J240" s="303"/>
      <c r="K240" s="303"/>
      <c r="L240" s="322"/>
    </row>
    <row r="241" spans="1:12" ht="12.75">
      <c r="A241" s="317" t="s">
        <v>194</v>
      </c>
      <c r="B241" s="317" t="s">
        <v>418</v>
      </c>
      <c r="C241" s="303"/>
      <c r="D241" s="303"/>
      <c r="E241" s="303"/>
      <c r="F241" s="322"/>
      <c r="G241" s="311" t="s">
        <v>100</v>
      </c>
      <c r="H241" s="293" t="s">
        <v>96</v>
      </c>
      <c r="I241" s="303"/>
      <c r="J241" s="303"/>
      <c r="K241" s="303"/>
      <c r="L241" s="322"/>
    </row>
    <row r="242" spans="1:12" ht="12.75">
      <c r="A242" s="311" t="s">
        <v>100</v>
      </c>
      <c r="B242" s="330" t="s">
        <v>419</v>
      </c>
      <c r="C242" s="303"/>
      <c r="D242" s="303"/>
      <c r="E242" s="303"/>
      <c r="F242" s="322"/>
      <c r="G242" s="311" t="s">
        <v>101</v>
      </c>
      <c r="H242" s="293" t="s">
        <v>420</v>
      </c>
      <c r="I242" s="303"/>
      <c r="J242" s="303"/>
      <c r="K242" s="303"/>
      <c r="L242" s="322"/>
    </row>
    <row r="243" spans="1:12" ht="12.75">
      <c r="A243" s="311" t="s">
        <v>101</v>
      </c>
      <c r="B243" s="330" t="s">
        <v>421</v>
      </c>
      <c r="C243" s="303"/>
      <c r="D243" s="303"/>
      <c r="E243" s="303"/>
      <c r="F243" s="322"/>
      <c r="G243" s="317" t="s">
        <v>196</v>
      </c>
      <c r="H243" s="317" t="s">
        <v>422</v>
      </c>
      <c r="I243" s="303"/>
      <c r="J243" s="303"/>
      <c r="K243" s="303"/>
      <c r="L243" s="322"/>
    </row>
    <row r="244" spans="1:12" ht="12.75">
      <c r="A244" s="311" t="s">
        <v>102</v>
      </c>
      <c r="B244" s="330" t="s">
        <v>161</v>
      </c>
      <c r="C244" s="303"/>
      <c r="D244" s="303"/>
      <c r="E244" s="303"/>
      <c r="F244" s="322"/>
      <c r="G244" s="311" t="s">
        <v>100</v>
      </c>
      <c r="H244" s="330" t="s">
        <v>117</v>
      </c>
      <c r="I244" s="303"/>
      <c r="J244" s="303"/>
      <c r="K244" s="303"/>
      <c r="L244" s="322"/>
    </row>
    <row r="245" spans="1:12" ht="12.75">
      <c r="A245" s="317" t="s">
        <v>423</v>
      </c>
      <c r="B245" s="317" t="s">
        <v>424</v>
      </c>
      <c r="C245" s="303">
        <v>0</v>
      </c>
      <c r="D245" s="303"/>
      <c r="E245" s="303"/>
      <c r="F245" s="322"/>
      <c r="G245" s="311" t="s">
        <v>101</v>
      </c>
      <c r="H245" s="330" t="s">
        <v>97</v>
      </c>
      <c r="I245" s="303"/>
      <c r="J245" s="303"/>
      <c r="K245" s="303"/>
      <c r="L245" s="322"/>
    </row>
    <row r="246" spans="1:12" ht="12.75">
      <c r="A246" s="317" t="s">
        <v>425</v>
      </c>
      <c r="B246" s="317" t="s">
        <v>426</v>
      </c>
      <c r="C246" s="303">
        <v>0</v>
      </c>
      <c r="D246" s="303"/>
      <c r="E246" s="303"/>
      <c r="F246" s="322"/>
      <c r="G246" s="311" t="s">
        <v>102</v>
      </c>
      <c r="H246" s="293" t="s">
        <v>163</v>
      </c>
      <c r="I246" s="303"/>
      <c r="J246" s="303"/>
      <c r="K246" s="303"/>
      <c r="L246" s="322"/>
    </row>
    <row r="247" spans="1:12" ht="12.75">
      <c r="A247" s="317" t="s">
        <v>196</v>
      </c>
      <c r="B247" s="317" t="s">
        <v>427</v>
      </c>
      <c r="C247" s="303">
        <v>0</v>
      </c>
      <c r="D247" s="303">
        <v>0</v>
      </c>
      <c r="E247" s="303">
        <v>0</v>
      </c>
      <c r="F247" s="322"/>
      <c r="G247" s="317" t="s">
        <v>197</v>
      </c>
      <c r="H247" s="317" t="s">
        <v>428</v>
      </c>
      <c r="I247" s="303"/>
      <c r="J247" s="303"/>
      <c r="K247" s="303"/>
      <c r="L247" s="322"/>
    </row>
    <row r="248" spans="1:12" ht="12.75">
      <c r="A248" s="317" t="s">
        <v>197</v>
      </c>
      <c r="B248" s="317" t="s">
        <v>428</v>
      </c>
      <c r="C248" s="303">
        <v>0</v>
      </c>
      <c r="D248" s="303">
        <v>0</v>
      </c>
      <c r="E248" s="303">
        <v>0</v>
      </c>
      <c r="F248" s="322"/>
      <c r="G248" s="317" t="s">
        <v>198</v>
      </c>
      <c r="H248" s="317" t="s">
        <v>396</v>
      </c>
      <c r="I248" s="303"/>
      <c r="J248" s="303"/>
      <c r="K248" s="303"/>
      <c r="L248" s="322"/>
    </row>
    <row r="249" spans="1:12" ht="12.75">
      <c r="A249" s="317" t="s">
        <v>198</v>
      </c>
      <c r="B249" s="317" t="s">
        <v>402</v>
      </c>
      <c r="C249" s="303"/>
      <c r="D249" s="303">
        <v>0</v>
      </c>
      <c r="E249" s="303">
        <v>0</v>
      </c>
      <c r="F249" s="322"/>
      <c r="G249" s="311" t="s">
        <v>100</v>
      </c>
      <c r="H249" s="293" t="s">
        <v>398</v>
      </c>
      <c r="I249" s="303">
        <v>0</v>
      </c>
      <c r="J249" s="303"/>
      <c r="K249" s="303"/>
      <c r="L249" s="322"/>
    </row>
    <row r="250" spans="1:12" ht="12.75">
      <c r="A250" s="311"/>
      <c r="B250" s="301" t="s">
        <v>429</v>
      </c>
      <c r="C250" s="304">
        <f>SUM(C245+C246)</f>
        <v>0</v>
      </c>
      <c r="D250" s="304">
        <f>SUM(D247:D249)</f>
        <v>0</v>
      </c>
      <c r="E250" s="304">
        <f>SUM(E247:E249)</f>
        <v>0</v>
      </c>
      <c r="F250" s="326"/>
      <c r="G250" s="311" t="s">
        <v>441</v>
      </c>
      <c r="H250" s="301" t="s">
        <v>430</v>
      </c>
      <c r="I250" s="304">
        <f>SUM(I247:I249)</f>
        <v>0</v>
      </c>
      <c r="J250" s="304">
        <f>SUM(J247:J249)</f>
        <v>0</v>
      </c>
      <c r="K250" s="304">
        <f>SUM(K247:K249)</f>
        <v>0</v>
      </c>
      <c r="L250" s="326"/>
    </row>
    <row r="251" spans="1:12" ht="12.75">
      <c r="A251" s="311"/>
      <c r="B251" s="327" t="s">
        <v>433</v>
      </c>
      <c r="C251" s="328">
        <f>I250-C250</f>
        <v>0</v>
      </c>
      <c r="D251" s="328">
        <f>J250-D250</f>
        <v>0</v>
      </c>
      <c r="E251" s="328"/>
      <c r="F251" s="331"/>
      <c r="G251" s="311" t="s">
        <v>442</v>
      </c>
      <c r="H251" s="293" t="s">
        <v>434</v>
      </c>
      <c r="I251" s="303"/>
      <c r="J251" s="303"/>
      <c r="K251" s="303">
        <f>E250-K250</f>
        <v>0</v>
      </c>
      <c r="L251" s="322"/>
    </row>
    <row r="252" spans="1:12" ht="13.5">
      <c r="A252" s="311"/>
      <c r="B252" s="332" t="s">
        <v>435</v>
      </c>
      <c r="C252" s="333">
        <f>SUM(C251+C235)</f>
        <v>46430</v>
      </c>
      <c r="D252" s="333">
        <f>SUM(D251+D235)</f>
        <v>26541</v>
      </c>
      <c r="E252" s="333">
        <f>SUM(E251+E235)</f>
        <v>30938</v>
      </c>
      <c r="F252" s="334"/>
      <c r="G252" s="311" t="s">
        <v>443</v>
      </c>
      <c r="H252" s="332" t="s">
        <v>436</v>
      </c>
      <c r="I252" s="303"/>
      <c r="J252" s="303"/>
      <c r="K252" s="303"/>
      <c r="L252" s="322"/>
    </row>
    <row r="253" spans="1:12" ht="12.75">
      <c r="A253" s="311"/>
      <c r="B253" s="301" t="s">
        <v>458</v>
      </c>
      <c r="C253" s="304">
        <f>SUM(C250+C234+C252)</f>
        <v>140519</v>
      </c>
      <c r="D253" s="304">
        <f>SUM(D250+D234+D252)</f>
        <v>131993</v>
      </c>
      <c r="E253" s="304">
        <f>SUM(E250+E234+E252)</f>
        <v>126379</v>
      </c>
      <c r="F253" s="326">
        <f>E253/D253*100</f>
        <v>95.74674414552287</v>
      </c>
      <c r="G253" s="311" t="s">
        <v>445</v>
      </c>
      <c r="H253" s="301" t="s">
        <v>458</v>
      </c>
      <c r="I253" s="304">
        <f>SUM(I236,I250,I252)</f>
        <v>140519</v>
      </c>
      <c r="J253" s="304">
        <f>SUM(J236,J250,J252)</f>
        <v>131993</v>
      </c>
      <c r="K253" s="304">
        <f>SUM(K236,K250,K252)</f>
        <v>126379</v>
      </c>
      <c r="L253" s="326">
        <f>K253/J253*100</f>
        <v>95.74674414552287</v>
      </c>
    </row>
    <row r="254" spans="1:12" ht="12.75">
      <c r="A254" s="564" t="s">
        <v>459</v>
      </c>
      <c r="B254" s="564"/>
      <c r="C254" s="564"/>
      <c r="D254" s="564"/>
      <c r="E254" s="564"/>
      <c r="F254" s="564"/>
      <c r="G254" s="564"/>
      <c r="H254" s="564"/>
      <c r="I254" s="564"/>
      <c r="J254" s="564"/>
      <c r="K254" s="564"/>
      <c r="L254" s="564"/>
    </row>
    <row r="255" spans="1:12" ht="12.75">
      <c r="A255" s="564"/>
      <c r="B255" s="564"/>
      <c r="C255" s="564"/>
      <c r="D255" s="564"/>
      <c r="E255" s="564"/>
      <c r="F255" s="564"/>
      <c r="G255" s="564"/>
      <c r="H255" s="564"/>
      <c r="I255" s="564"/>
      <c r="J255" s="564"/>
      <c r="K255" s="564"/>
      <c r="L255" s="564"/>
    </row>
    <row r="256" spans="1:12" ht="15.75">
      <c r="A256" s="315" t="s">
        <v>447</v>
      </c>
      <c r="C256" s="335" t="s">
        <v>460</v>
      </c>
      <c r="I256" s="565" t="s">
        <v>364</v>
      </c>
      <c r="J256" s="566"/>
      <c r="K256" s="566"/>
      <c r="L256" s="566"/>
    </row>
    <row r="257" spans="1:12" ht="12.75">
      <c r="A257" s="567" t="s">
        <v>365</v>
      </c>
      <c r="B257" s="569" t="s">
        <v>142</v>
      </c>
      <c r="C257" s="571" t="s">
        <v>366</v>
      </c>
      <c r="D257" s="571" t="s">
        <v>367</v>
      </c>
      <c r="E257" s="571" t="s">
        <v>155</v>
      </c>
      <c r="F257" s="559" t="s">
        <v>368</v>
      </c>
      <c r="G257" s="567" t="s">
        <v>365</v>
      </c>
      <c r="H257" s="569" t="s">
        <v>369</v>
      </c>
      <c r="I257" s="571" t="s">
        <v>366</v>
      </c>
      <c r="J257" s="571" t="s">
        <v>367</v>
      </c>
      <c r="K257" s="571" t="s">
        <v>155</v>
      </c>
      <c r="L257" s="559" t="s">
        <v>368</v>
      </c>
    </row>
    <row r="258" spans="1:12" ht="12.75">
      <c r="A258" s="567"/>
      <c r="B258" s="569"/>
      <c r="C258" s="572"/>
      <c r="D258" s="572"/>
      <c r="E258" s="572"/>
      <c r="F258" s="560"/>
      <c r="G258" s="567"/>
      <c r="H258" s="569"/>
      <c r="I258" s="572"/>
      <c r="J258" s="572"/>
      <c r="K258" s="572"/>
      <c r="L258" s="560"/>
    </row>
    <row r="259" spans="1:12" ht="12.75">
      <c r="A259" s="568"/>
      <c r="B259" s="570"/>
      <c r="C259" s="573"/>
      <c r="D259" s="573"/>
      <c r="E259" s="573"/>
      <c r="F259" s="553"/>
      <c r="G259" s="568"/>
      <c r="H259" s="570"/>
      <c r="I259" s="573"/>
      <c r="J259" s="573"/>
      <c r="K259" s="573"/>
      <c r="L259" s="553"/>
    </row>
    <row r="260" spans="1:12" ht="12.75">
      <c r="A260" s="317" t="s">
        <v>88</v>
      </c>
      <c r="B260" s="317" t="s">
        <v>185</v>
      </c>
      <c r="C260" s="318"/>
      <c r="D260" s="318"/>
      <c r="E260" s="318"/>
      <c r="F260" s="317"/>
      <c r="G260" s="317"/>
      <c r="H260" s="317" t="s">
        <v>91</v>
      </c>
      <c r="I260" s="318">
        <f>SUM(I261:I263,I264,I271,I272)</f>
        <v>51273</v>
      </c>
      <c r="J260" s="318">
        <f>SUM(J261:J263,J264,J271,J272)</f>
        <v>46344</v>
      </c>
      <c r="K260" s="318">
        <f>SUM(K261:K263,K264,K271,K272)</f>
        <v>34578</v>
      </c>
      <c r="L260" s="319">
        <f>K260/J260*100</f>
        <v>74.61160020714655</v>
      </c>
    </row>
    <row r="261" spans="1:12" ht="12.75">
      <c r="A261" s="311" t="s">
        <v>100</v>
      </c>
      <c r="B261" s="296" t="s">
        <v>370</v>
      </c>
      <c r="C261" s="320">
        <v>17581</v>
      </c>
      <c r="D261" s="320">
        <v>17477</v>
      </c>
      <c r="E261" s="320">
        <v>19693</v>
      </c>
      <c r="F261" s="321">
        <f>E261/D261*100</f>
        <v>112.67952165703497</v>
      </c>
      <c r="G261" s="317" t="s">
        <v>88</v>
      </c>
      <c r="H261" s="317" t="s">
        <v>92</v>
      </c>
      <c r="I261" s="303">
        <v>29793</v>
      </c>
      <c r="J261" s="303">
        <v>27446</v>
      </c>
      <c r="K261" s="303">
        <f>18500</f>
        <v>18500</v>
      </c>
      <c r="L261" s="322">
        <f>K261/J261*100</f>
        <v>67.40508635138089</v>
      </c>
    </row>
    <row r="262" spans="1:12" ht="12.75">
      <c r="A262" s="311" t="s">
        <v>101</v>
      </c>
      <c r="B262" s="296" t="s">
        <v>371</v>
      </c>
      <c r="C262" s="320">
        <v>0</v>
      </c>
      <c r="D262" s="320">
        <v>0</v>
      </c>
      <c r="E262" s="320">
        <v>0</v>
      </c>
      <c r="F262" s="321"/>
      <c r="G262" s="317" t="s">
        <v>372</v>
      </c>
      <c r="H262" s="317" t="s">
        <v>93</v>
      </c>
      <c r="I262" s="303">
        <v>9440</v>
      </c>
      <c r="J262" s="303">
        <v>8635</v>
      </c>
      <c r="K262" s="303">
        <v>6148</v>
      </c>
      <c r="L262" s="322">
        <f>K262/J262*100</f>
        <v>71.19861030689056</v>
      </c>
    </row>
    <row r="263" spans="1:12" ht="12.75">
      <c r="A263" s="323" t="s">
        <v>373</v>
      </c>
      <c r="B263" s="293" t="s">
        <v>374</v>
      </c>
      <c r="C263" s="303">
        <v>0</v>
      </c>
      <c r="D263" s="303">
        <v>0</v>
      </c>
      <c r="E263" s="303">
        <v>0</v>
      </c>
      <c r="F263" s="322"/>
      <c r="G263" s="317" t="s">
        <v>194</v>
      </c>
      <c r="H263" s="317" t="s">
        <v>269</v>
      </c>
      <c r="I263" s="303">
        <v>12040</v>
      </c>
      <c r="J263" s="303">
        <v>10263</v>
      </c>
      <c r="K263" s="303">
        <v>9930</v>
      </c>
      <c r="L263" s="322">
        <f>K263/J263*100</f>
        <v>96.75533469745689</v>
      </c>
    </row>
    <row r="264" spans="1:12" ht="12.75">
      <c r="A264" s="323" t="s">
        <v>375</v>
      </c>
      <c r="B264" s="293" t="s">
        <v>376</v>
      </c>
      <c r="C264" s="303"/>
      <c r="D264" s="303"/>
      <c r="E264" s="303"/>
      <c r="F264" s="322"/>
      <c r="G264" s="317" t="s">
        <v>195</v>
      </c>
      <c r="H264" s="317" t="s">
        <v>377</v>
      </c>
      <c r="I264" s="303"/>
      <c r="J264" s="303"/>
      <c r="K264" s="303"/>
      <c r="L264" s="322"/>
    </row>
    <row r="265" spans="1:12" ht="12.75">
      <c r="A265" s="323" t="s">
        <v>378</v>
      </c>
      <c r="B265" s="293" t="s">
        <v>379</v>
      </c>
      <c r="C265" s="303"/>
      <c r="D265" s="303"/>
      <c r="E265" s="303"/>
      <c r="F265" s="322"/>
      <c r="G265" s="311" t="s">
        <v>100</v>
      </c>
      <c r="H265" s="293" t="s">
        <v>96</v>
      </c>
      <c r="I265" s="303"/>
      <c r="J265" s="303"/>
      <c r="K265" s="303"/>
      <c r="L265" s="322"/>
    </row>
    <row r="266" spans="1:12" ht="12.75">
      <c r="A266" s="324" t="s">
        <v>192</v>
      </c>
      <c r="B266" s="317" t="s">
        <v>186</v>
      </c>
      <c r="C266" s="303"/>
      <c r="D266" s="303"/>
      <c r="E266" s="303"/>
      <c r="F266" s="322"/>
      <c r="G266" s="311" t="s">
        <v>101</v>
      </c>
      <c r="H266" s="293" t="s">
        <v>380</v>
      </c>
      <c r="I266" s="303"/>
      <c r="J266" s="303"/>
      <c r="K266" s="303"/>
      <c r="L266" s="322"/>
    </row>
    <row r="267" spans="1:12" ht="12.75">
      <c r="A267" s="311" t="s">
        <v>100</v>
      </c>
      <c r="B267" s="296" t="s">
        <v>381</v>
      </c>
      <c r="C267" s="320">
        <f>SUM(C268:C270)</f>
        <v>45427</v>
      </c>
      <c r="D267" s="320">
        <f>SUM(D268:D270)</f>
        <v>42218</v>
      </c>
      <c r="E267" s="320">
        <f>SUM(E268:E270)</f>
        <v>23539</v>
      </c>
      <c r="F267" s="321">
        <f>E267/D267*100</f>
        <v>55.75583874176891</v>
      </c>
      <c r="G267" s="311" t="s">
        <v>102</v>
      </c>
      <c r="H267" s="293" t="s">
        <v>382</v>
      </c>
      <c r="I267" s="303">
        <v>0</v>
      </c>
      <c r="J267" s="303">
        <v>0</v>
      </c>
      <c r="K267" s="303">
        <v>0</v>
      </c>
      <c r="L267" s="322"/>
    </row>
    <row r="268" spans="1:12" ht="12.75">
      <c r="A268" s="311" t="s">
        <v>383</v>
      </c>
      <c r="B268" s="293" t="s">
        <v>384</v>
      </c>
      <c r="C268" s="303">
        <v>43941</v>
      </c>
      <c r="D268" s="303">
        <v>38492</v>
      </c>
      <c r="E268" s="303">
        <v>23454</v>
      </c>
      <c r="F268" s="322">
        <f>E268/D268*100</f>
        <v>60.93214174373895</v>
      </c>
      <c r="G268" s="311" t="s">
        <v>103</v>
      </c>
      <c r="H268" s="293" t="s">
        <v>385</v>
      </c>
      <c r="I268" s="303">
        <v>0</v>
      </c>
      <c r="J268" s="303">
        <v>0</v>
      </c>
      <c r="K268" s="303">
        <v>0</v>
      </c>
      <c r="L268" s="322"/>
    </row>
    <row r="269" spans="1:12" ht="12.75">
      <c r="A269" s="311" t="s">
        <v>386</v>
      </c>
      <c r="B269" s="293" t="s">
        <v>387</v>
      </c>
      <c r="C269" s="303">
        <v>1383</v>
      </c>
      <c r="D269" s="303">
        <v>3594</v>
      </c>
      <c r="E269" s="303">
        <v>0</v>
      </c>
      <c r="F269" s="322">
        <f>E269/D269*100</f>
        <v>0</v>
      </c>
      <c r="G269" s="311" t="s">
        <v>104</v>
      </c>
      <c r="H269" s="293" t="s">
        <v>388</v>
      </c>
      <c r="I269" s="303">
        <v>0</v>
      </c>
      <c r="J269" s="303">
        <v>0</v>
      </c>
      <c r="K269" s="303">
        <v>0</v>
      </c>
      <c r="L269" s="322"/>
    </row>
    <row r="270" spans="1:12" ht="12.75">
      <c r="A270" s="311" t="s">
        <v>389</v>
      </c>
      <c r="B270" s="293" t="s">
        <v>390</v>
      </c>
      <c r="C270" s="303">
        <v>103</v>
      </c>
      <c r="D270" s="303">
        <v>132</v>
      </c>
      <c r="E270" s="303">
        <v>85</v>
      </c>
      <c r="F270" s="322">
        <f>E270/D270*100</f>
        <v>64.39393939393939</v>
      </c>
      <c r="G270" s="311"/>
      <c r="H270" s="293"/>
      <c r="I270" s="303"/>
      <c r="J270" s="303"/>
      <c r="K270" s="303"/>
      <c r="L270" s="322"/>
    </row>
    <row r="271" spans="1:12" ht="12.75">
      <c r="A271" s="317" t="s">
        <v>391</v>
      </c>
      <c r="B271" s="317" t="s">
        <v>392</v>
      </c>
      <c r="C271" s="303">
        <v>6364</v>
      </c>
      <c r="D271" s="303">
        <v>6514</v>
      </c>
      <c r="E271" s="303">
        <v>11100</v>
      </c>
      <c r="F271" s="322">
        <f>E271/D271*100</f>
        <v>170.40221062327294</v>
      </c>
      <c r="G271" s="317" t="s">
        <v>197</v>
      </c>
      <c r="H271" s="317" t="s">
        <v>393</v>
      </c>
      <c r="I271" s="303"/>
      <c r="J271" s="303"/>
      <c r="K271" s="303"/>
      <c r="L271" s="322"/>
    </row>
    <row r="272" spans="1:12" ht="12.75">
      <c r="A272" s="317" t="s">
        <v>394</v>
      </c>
      <c r="B272" s="317" t="s">
        <v>395</v>
      </c>
      <c r="C272" s="303"/>
      <c r="D272" s="303"/>
      <c r="E272" s="303"/>
      <c r="F272" s="322"/>
      <c r="G272" s="317" t="s">
        <v>198</v>
      </c>
      <c r="H272" s="317" t="s">
        <v>396</v>
      </c>
      <c r="I272" s="303"/>
      <c r="J272" s="303"/>
      <c r="K272" s="303"/>
      <c r="L272" s="322"/>
    </row>
    <row r="273" spans="1:12" ht="12.75">
      <c r="A273" s="311"/>
      <c r="B273" s="293" t="s">
        <v>397</v>
      </c>
      <c r="C273" s="303"/>
      <c r="D273" s="303"/>
      <c r="E273" s="303"/>
      <c r="F273" s="322"/>
      <c r="G273" s="311" t="s">
        <v>100</v>
      </c>
      <c r="H273" s="293" t="s">
        <v>398</v>
      </c>
      <c r="I273" s="303"/>
      <c r="J273" s="303"/>
      <c r="K273" s="303"/>
      <c r="L273" s="322"/>
    </row>
    <row r="274" spans="1:12" ht="12.75">
      <c r="A274" s="317" t="s">
        <v>399</v>
      </c>
      <c r="B274" s="317" t="s">
        <v>400</v>
      </c>
      <c r="C274" s="320">
        <v>0</v>
      </c>
      <c r="D274" s="320">
        <v>0</v>
      </c>
      <c r="E274" s="320">
        <v>0</v>
      </c>
      <c r="F274" s="321"/>
      <c r="G274" s="311" t="s">
        <v>101</v>
      </c>
      <c r="H274" s="293" t="s">
        <v>401</v>
      </c>
      <c r="I274" s="303"/>
      <c r="J274" s="303"/>
      <c r="K274" s="303"/>
      <c r="L274" s="322"/>
    </row>
    <row r="275" spans="1:12" ht="12.75">
      <c r="A275" s="317" t="s">
        <v>198</v>
      </c>
      <c r="B275" s="317" t="s">
        <v>402</v>
      </c>
      <c r="C275" s="303"/>
      <c r="D275" s="303"/>
      <c r="E275" s="303"/>
      <c r="F275" s="322"/>
      <c r="G275" s="311"/>
      <c r="H275" s="293"/>
      <c r="I275" s="303"/>
      <c r="J275" s="303"/>
      <c r="K275" s="303"/>
      <c r="L275" s="322"/>
    </row>
    <row r="276" spans="1:12" ht="12.75">
      <c r="A276" s="311"/>
      <c r="B276" s="301" t="s">
        <v>403</v>
      </c>
      <c r="C276" s="304">
        <f>SUM(C261+C262+C267+C271+C272+C274+C275)</f>
        <v>69372</v>
      </c>
      <c r="D276" s="304">
        <f>SUM(D261+D262+D267+D271+D272+D274+D275)</f>
        <v>66209</v>
      </c>
      <c r="E276" s="304">
        <f>SUM(E261+E262+E267+E271+E272+E274+E275)</f>
        <v>54332</v>
      </c>
      <c r="F276" s="325">
        <f>E276/D276*100</f>
        <v>82.06135117582201</v>
      </c>
      <c r="G276" s="311"/>
      <c r="H276" s="301" t="s">
        <v>404</v>
      </c>
      <c r="I276" s="304">
        <f>SUM(I261:I264)</f>
        <v>51273</v>
      </c>
      <c r="J276" s="304">
        <f>SUM(J261:J263)</f>
        <v>46344</v>
      </c>
      <c r="K276" s="304">
        <f>SUM(K261:K263)</f>
        <v>34578</v>
      </c>
      <c r="L276" s="326">
        <f>K276/J276*100</f>
        <v>74.61160020714655</v>
      </c>
    </row>
    <row r="277" spans="1:12" ht="12.75">
      <c r="A277" s="311"/>
      <c r="B277" s="327" t="s">
        <v>405</v>
      </c>
      <c r="C277" s="328">
        <f>I278-C276</f>
        <v>5194</v>
      </c>
      <c r="D277" s="328">
        <f>J278-D276</f>
        <v>294</v>
      </c>
      <c r="E277" s="328">
        <f>K278-E276</f>
        <v>489</v>
      </c>
      <c r="F277" s="329"/>
      <c r="G277" s="311"/>
      <c r="H277" s="293" t="s">
        <v>406</v>
      </c>
      <c r="I277" s="328">
        <v>23293</v>
      </c>
      <c r="J277" s="328">
        <v>20159</v>
      </c>
      <c r="K277" s="328">
        <f>20528-285</f>
        <v>20243</v>
      </c>
      <c r="L277" s="322">
        <f>K277/J277*100</f>
        <v>100.41668733568135</v>
      </c>
    </row>
    <row r="278" spans="1:12" ht="12.75">
      <c r="A278" s="311"/>
      <c r="B278" s="317" t="s">
        <v>407</v>
      </c>
      <c r="C278" s="303"/>
      <c r="D278" s="303"/>
      <c r="E278" s="303"/>
      <c r="F278" s="322"/>
      <c r="G278" s="311"/>
      <c r="H278" s="301" t="s">
        <v>408</v>
      </c>
      <c r="I278" s="304">
        <f>SUM(I276:I277)</f>
        <v>74566</v>
      </c>
      <c r="J278" s="304">
        <f>SUM(J276:J277)</f>
        <v>66503</v>
      </c>
      <c r="K278" s="304">
        <f>SUM(K276:K277)</f>
        <v>54821</v>
      </c>
      <c r="L278" s="326">
        <f>K278/J278*100</f>
        <v>82.43387516352647</v>
      </c>
    </row>
    <row r="279" spans="1:12" ht="12.75">
      <c r="A279" s="317" t="s">
        <v>409</v>
      </c>
      <c r="B279" s="317" t="s">
        <v>410</v>
      </c>
      <c r="C279" s="303"/>
      <c r="D279" s="303"/>
      <c r="E279" s="303"/>
      <c r="F279" s="322"/>
      <c r="G279" s="311"/>
      <c r="H279" s="327" t="s">
        <v>411</v>
      </c>
      <c r="I279" s="303"/>
      <c r="J279" s="303"/>
      <c r="K279" s="303"/>
      <c r="L279" s="322"/>
    </row>
    <row r="280" spans="1:12" ht="12.75">
      <c r="A280" s="317" t="s">
        <v>412</v>
      </c>
      <c r="B280" s="317" t="s">
        <v>413</v>
      </c>
      <c r="C280" s="303"/>
      <c r="D280" s="303"/>
      <c r="E280" s="303"/>
      <c r="F280" s="322"/>
      <c r="G280" s="311"/>
      <c r="H280" s="317" t="s">
        <v>94</v>
      </c>
      <c r="I280" s="303"/>
      <c r="J280" s="303"/>
      <c r="K280" s="303"/>
      <c r="L280" s="322"/>
    </row>
    <row r="281" spans="1:12" ht="12.75">
      <c r="A281" s="317" t="s">
        <v>414</v>
      </c>
      <c r="B281" s="317" t="s">
        <v>415</v>
      </c>
      <c r="C281" s="303"/>
      <c r="D281" s="303"/>
      <c r="E281" s="303"/>
      <c r="F281" s="322"/>
      <c r="G281" s="317" t="s">
        <v>194</v>
      </c>
      <c r="H281" s="317" t="s">
        <v>416</v>
      </c>
      <c r="I281" s="303"/>
      <c r="J281" s="303"/>
      <c r="K281" s="303"/>
      <c r="L281" s="322"/>
    </row>
    <row r="282" spans="1:12" ht="12.75">
      <c r="A282" s="317" t="s">
        <v>417</v>
      </c>
      <c r="B282" s="317" t="s">
        <v>193</v>
      </c>
      <c r="C282" s="303"/>
      <c r="D282" s="303"/>
      <c r="E282" s="303"/>
      <c r="F282" s="322"/>
      <c r="G282" s="317" t="s">
        <v>195</v>
      </c>
      <c r="H282" s="317" t="s">
        <v>377</v>
      </c>
      <c r="I282" s="303"/>
      <c r="J282" s="303"/>
      <c r="K282" s="303"/>
      <c r="L282" s="322"/>
    </row>
    <row r="283" spans="1:12" ht="12.75">
      <c r="A283" s="317" t="s">
        <v>194</v>
      </c>
      <c r="B283" s="317" t="s">
        <v>418</v>
      </c>
      <c r="C283" s="303"/>
      <c r="D283" s="303"/>
      <c r="E283" s="303"/>
      <c r="F283" s="322"/>
      <c r="G283" s="311" t="s">
        <v>100</v>
      </c>
      <c r="H283" s="293" t="s">
        <v>96</v>
      </c>
      <c r="I283" s="303"/>
      <c r="J283" s="303"/>
      <c r="K283" s="303"/>
      <c r="L283" s="322"/>
    </row>
    <row r="284" spans="1:12" ht="12.75">
      <c r="A284" s="311" t="s">
        <v>100</v>
      </c>
      <c r="B284" s="330" t="s">
        <v>419</v>
      </c>
      <c r="C284" s="303"/>
      <c r="D284" s="303"/>
      <c r="E284" s="303"/>
      <c r="F284" s="322"/>
      <c r="G284" s="311" t="s">
        <v>101</v>
      </c>
      <c r="H284" s="293" t="s">
        <v>420</v>
      </c>
      <c r="I284" s="303"/>
      <c r="J284" s="303"/>
      <c r="K284" s="303"/>
      <c r="L284" s="322"/>
    </row>
    <row r="285" spans="1:12" ht="12.75">
      <c r="A285" s="311" t="s">
        <v>101</v>
      </c>
      <c r="B285" s="330" t="s">
        <v>421</v>
      </c>
      <c r="C285" s="303"/>
      <c r="D285" s="303"/>
      <c r="E285" s="303"/>
      <c r="F285" s="322"/>
      <c r="G285" s="317" t="s">
        <v>196</v>
      </c>
      <c r="H285" s="317" t="s">
        <v>422</v>
      </c>
      <c r="I285" s="303"/>
      <c r="J285" s="303"/>
      <c r="K285" s="303"/>
      <c r="L285" s="322"/>
    </row>
    <row r="286" spans="1:12" ht="12.75">
      <c r="A286" s="311" t="s">
        <v>102</v>
      </c>
      <c r="B286" s="330" t="s">
        <v>161</v>
      </c>
      <c r="C286" s="303"/>
      <c r="D286" s="303"/>
      <c r="E286" s="303"/>
      <c r="F286" s="322"/>
      <c r="G286" s="311" t="s">
        <v>100</v>
      </c>
      <c r="H286" s="330" t="s">
        <v>117</v>
      </c>
      <c r="I286" s="303"/>
      <c r="J286" s="303"/>
      <c r="K286" s="303"/>
      <c r="L286" s="322"/>
    </row>
    <row r="287" spans="1:12" ht="12.75">
      <c r="A287" s="317" t="s">
        <v>423</v>
      </c>
      <c r="B287" s="317" t="s">
        <v>424</v>
      </c>
      <c r="C287" s="303"/>
      <c r="D287" s="303"/>
      <c r="E287" s="303"/>
      <c r="F287" s="322"/>
      <c r="G287" s="311" t="s">
        <v>101</v>
      </c>
      <c r="H287" s="330" t="s">
        <v>97</v>
      </c>
      <c r="I287" s="303"/>
      <c r="J287" s="303"/>
      <c r="K287" s="303"/>
      <c r="L287" s="322"/>
    </row>
    <row r="288" spans="1:12" ht="12.75">
      <c r="A288" s="317" t="s">
        <v>425</v>
      </c>
      <c r="B288" s="317" t="s">
        <v>426</v>
      </c>
      <c r="C288" s="303"/>
      <c r="D288" s="303"/>
      <c r="E288" s="303"/>
      <c r="F288" s="322"/>
      <c r="G288" s="311" t="s">
        <v>102</v>
      </c>
      <c r="H288" s="293" t="s">
        <v>163</v>
      </c>
      <c r="I288" s="303"/>
      <c r="J288" s="303"/>
      <c r="K288" s="303"/>
      <c r="L288" s="322"/>
    </row>
    <row r="289" spans="1:12" ht="12.75">
      <c r="A289" s="317" t="s">
        <v>196</v>
      </c>
      <c r="B289" s="317" t="s">
        <v>427</v>
      </c>
      <c r="C289" s="303">
        <v>0</v>
      </c>
      <c r="D289" s="303">
        <v>0</v>
      </c>
      <c r="E289" s="303">
        <v>0</v>
      </c>
      <c r="F289" s="322"/>
      <c r="G289" s="317" t="s">
        <v>197</v>
      </c>
      <c r="H289" s="317" t="s">
        <v>428</v>
      </c>
      <c r="I289" s="303"/>
      <c r="J289" s="303"/>
      <c r="K289" s="303"/>
      <c r="L289" s="322"/>
    </row>
    <row r="290" spans="1:12" ht="12.75">
      <c r="A290" s="317" t="s">
        <v>197</v>
      </c>
      <c r="B290" s="317" t="s">
        <v>428</v>
      </c>
      <c r="C290" s="303">
        <v>0</v>
      </c>
      <c r="D290" s="303">
        <v>0</v>
      </c>
      <c r="E290" s="303">
        <v>0</v>
      </c>
      <c r="F290" s="322"/>
      <c r="G290" s="317" t="s">
        <v>198</v>
      </c>
      <c r="H290" s="317" t="s">
        <v>396</v>
      </c>
      <c r="I290" s="303"/>
      <c r="J290" s="303"/>
      <c r="K290" s="303"/>
      <c r="L290" s="322"/>
    </row>
    <row r="291" spans="1:12" ht="12.75">
      <c r="A291" s="317" t="s">
        <v>198</v>
      </c>
      <c r="B291" s="317" t="s">
        <v>402</v>
      </c>
      <c r="C291" s="303"/>
      <c r="D291" s="303">
        <v>0</v>
      </c>
      <c r="E291" s="303">
        <v>0</v>
      </c>
      <c r="F291" s="322"/>
      <c r="G291" s="311" t="s">
        <v>100</v>
      </c>
      <c r="H291" s="293" t="s">
        <v>398</v>
      </c>
      <c r="I291" s="303">
        <v>0</v>
      </c>
      <c r="J291" s="303"/>
      <c r="K291" s="303"/>
      <c r="L291" s="322"/>
    </row>
    <row r="292" spans="1:12" ht="12.75">
      <c r="A292" s="311"/>
      <c r="B292" s="301" t="s">
        <v>429</v>
      </c>
      <c r="C292" s="304">
        <f>SUM(C289:C291)</f>
        <v>0</v>
      </c>
      <c r="D292" s="304">
        <f>SUM(D289:D291)</f>
        <v>0</v>
      </c>
      <c r="E292" s="304">
        <f>SUM(E289:E291)</f>
        <v>0</v>
      </c>
      <c r="F292" s="326"/>
      <c r="G292" s="311" t="s">
        <v>441</v>
      </c>
      <c r="H292" s="301" t="s">
        <v>430</v>
      </c>
      <c r="I292" s="304">
        <f>SUM(I289:I291)</f>
        <v>0</v>
      </c>
      <c r="J292" s="304">
        <f>SUM(J289:J291)</f>
        <v>0</v>
      </c>
      <c r="K292" s="304">
        <f>SUM(K289:K291)</f>
        <v>0</v>
      </c>
      <c r="L292" s="326"/>
    </row>
    <row r="293" spans="1:12" ht="12.75">
      <c r="A293" s="311"/>
      <c r="B293" s="327" t="s">
        <v>433</v>
      </c>
      <c r="C293" s="328">
        <f>I292-C292</f>
        <v>0</v>
      </c>
      <c r="D293" s="328">
        <f>J292-D292</f>
        <v>0</v>
      </c>
      <c r="E293" s="328"/>
      <c r="F293" s="331"/>
      <c r="G293" s="311" t="s">
        <v>442</v>
      </c>
      <c r="H293" s="293" t="s">
        <v>434</v>
      </c>
      <c r="I293" s="303"/>
      <c r="J293" s="303"/>
      <c r="K293" s="303">
        <f>E292-K292</f>
        <v>0</v>
      </c>
      <c r="L293" s="322"/>
    </row>
    <row r="294" spans="1:12" ht="13.5">
      <c r="A294" s="311"/>
      <c r="B294" s="332" t="s">
        <v>435</v>
      </c>
      <c r="C294" s="333">
        <f>SUM(C293+C277)</f>
        <v>5194</v>
      </c>
      <c r="D294" s="333">
        <f>SUM(D293+D277)</f>
        <v>294</v>
      </c>
      <c r="E294" s="333">
        <f>SUM(E293+E277)</f>
        <v>489</v>
      </c>
      <c r="F294" s="322">
        <f>E294/D294*100</f>
        <v>166.32653061224488</v>
      </c>
      <c r="G294" s="311" t="s">
        <v>443</v>
      </c>
      <c r="H294" s="332" t="s">
        <v>436</v>
      </c>
      <c r="I294" s="303"/>
      <c r="J294" s="303"/>
      <c r="K294" s="320"/>
      <c r="L294" s="322"/>
    </row>
    <row r="295" spans="1:12" ht="12.75">
      <c r="A295" s="311"/>
      <c r="B295" s="301" t="s">
        <v>461</v>
      </c>
      <c r="C295" s="304">
        <f>SUM(C292+C276+C294)</f>
        <v>74566</v>
      </c>
      <c r="D295" s="304">
        <f>SUM(D292+D276+D294)</f>
        <v>66503</v>
      </c>
      <c r="E295" s="304">
        <f>SUM(E292+E276+E294)</f>
        <v>54821</v>
      </c>
      <c r="F295" s="326">
        <f>E295/D295*100</f>
        <v>82.43387516352647</v>
      </c>
      <c r="G295" s="311" t="s">
        <v>445</v>
      </c>
      <c r="H295" s="301" t="s">
        <v>461</v>
      </c>
      <c r="I295" s="304">
        <f>SUM(I278,I292,I294)</f>
        <v>74566</v>
      </c>
      <c r="J295" s="304">
        <f>SUM(J278,J292,J294)</f>
        <v>66503</v>
      </c>
      <c r="K295" s="304">
        <f>SUM(K278,K292,K294)</f>
        <v>54821</v>
      </c>
      <c r="L295" s="326">
        <f>K295/J295*100</f>
        <v>82.43387516352647</v>
      </c>
    </row>
    <row r="296" spans="1:12" ht="12.75">
      <c r="A296" s="564" t="s">
        <v>462</v>
      </c>
      <c r="B296" s="564"/>
      <c r="C296" s="564"/>
      <c r="D296" s="564"/>
      <c r="E296" s="564"/>
      <c r="F296" s="564"/>
      <c r="G296" s="564"/>
      <c r="H296" s="564"/>
      <c r="I296" s="564"/>
      <c r="J296" s="564"/>
      <c r="K296" s="564"/>
      <c r="L296" s="564"/>
    </row>
    <row r="297" spans="1:12" ht="23.25" customHeight="1">
      <c r="A297" s="564"/>
      <c r="B297" s="564"/>
      <c r="C297" s="564"/>
      <c r="D297" s="564"/>
      <c r="E297" s="564"/>
      <c r="F297" s="564"/>
      <c r="G297" s="564"/>
      <c r="H297" s="564"/>
      <c r="I297" s="564"/>
      <c r="J297" s="564"/>
      <c r="K297" s="564"/>
      <c r="L297" s="564"/>
    </row>
    <row r="298" spans="1:12" ht="15.75">
      <c r="A298" s="315" t="s">
        <v>447</v>
      </c>
      <c r="C298" s="335" t="s">
        <v>463</v>
      </c>
      <c r="I298" s="565" t="s">
        <v>364</v>
      </c>
      <c r="J298" s="566"/>
      <c r="K298" s="566"/>
      <c r="L298" s="566"/>
    </row>
    <row r="299" spans="1:12" ht="12.75">
      <c r="A299" s="567" t="s">
        <v>365</v>
      </c>
      <c r="B299" s="569" t="s">
        <v>142</v>
      </c>
      <c r="C299" s="571" t="s">
        <v>366</v>
      </c>
      <c r="D299" s="571" t="s">
        <v>367</v>
      </c>
      <c r="E299" s="571" t="s">
        <v>155</v>
      </c>
      <c r="F299" s="559" t="s">
        <v>368</v>
      </c>
      <c r="G299" s="567" t="s">
        <v>365</v>
      </c>
      <c r="H299" s="569" t="s">
        <v>369</v>
      </c>
      <c r="I299" s="571" t="s">
        <v>366</v>
      </c>
      <c r="J299" s="571" t="s">
        <v>367</v>
      </c>
      <c r="K299" s="571" t="s">
        <v>155</v>
      </c>
      <c r="L299" s="559" t="s">
        <v>368</v>
      </c>
    </row>
    <row r="300" spans="1:12" ht="12.75">
      <c r="A300" s="567"/>
      <c r="B300" s="569"/>
      <c r="C300" s="572"/>
      <c r="D300" s="572"/>
      <c r="E300" s="572"/>
      <c r="F300" s="560"/>
      <c r="G300" s="567"/>
      <c r="H300" s="569"/>
      <c r="I300" s="572"/>
      <c r="J300" s="572"/>
      <c r="K300" s="572"/>
      <c r="L300" s="560"/>
    </row>
    <row r="301" spans="1:12" ht="12.75">
      <c r="A301" s="568"/>
      <c r="B301" s="570"/>
      <c r="C301" s="573"/>
      <c r="D301" s="573"/>
      <c r="E301" s="573"/>
      <c r="F301" s="553"/>
      <c r="G301" s="568"/>
      <c r="H301" s="570"/>
      <c r="I301" s="573"/>
      <c r="J301" s="573"/>
      <c r="K301" s="573"/>
      <c r="L301" s="553"/>
    </row>
    <row r="302" spans="1:12" ht="12.75">
      <c r="A302" s="317" t="s">
        <v>88</v>
      </c>
      <c r="B302" s="317" t="s">
        <v>185</v>
      </c>
      <c r="C302" s="318"/>
      <c r="D302" s="318"/>
      <c r="E302" s="318"/>
      <c r="F302" s="317"/>
      <c r="G302" s="317"/>
      <c r="H302" s="317" t="s">
        <v>91</v>
      </c>
      <c r="I302" s="318">
        <f>SUM(I303:I305,I306,I313,I314)</f>
        <v>34448</v>
      </c>
      <c r="J302" s="318">
        <f>SUM(J303:J305,J306,J313,J314)</f>
        <v>28342</v>
      </c>
      <c r="K302" s="318">
        <f>SUM(K303:K305,K306,K313,K314)</f>
        <v>34485</v>
      </c>
      <c r="L302" s="319">
        <f>K302/J302*100</f>
        <v>121.67454660927245</v>
      </c>
    </row>
    <row r="303" spans="1:12" ht="12.75">
      <c r="A303" s="311" t="s">
        <v>100</v>
      </c>
      <c r="B303" s="296" t="s">
        <v>370</v>
      </c>
      <c r="C303" s="320">
        <v>0</v>
      </c>
      <c r="D303" s="320">
        <v>312</v>
      </c>
      <c r="E303" s="320">
        <v>0</v>
      </c>
      <c r="F303" s="321">
        <f>E303/D303*100</f>
        <v>0</v>
      </c>
      <c r="G303" s="317" t="s">
        <v>88</v>
      </c>
      <c r="H303" s="317" t="s">
        <v>92</v>
      </c>
      <c r="I303" s="303">
        <v>22436</v>
      </c>
      <c r="J303" s="303">
        <v>20040</v>
      </c>
      <c r="K303" s="303">
        <v>22927</v>
      </c>
      <c r="L303" s="322">
        <f>K303/J303*100</f>
        <v>114.4061876247505</v>
      </c>
    </row>
    <row r="304" spans="1:12" ht="12.75">
      <c r="A304" s="311" t="s">
        <v>101</v>
      </c>
      <c r="B304" s="296" t="s">
        <v>371</v>
      </c>
      <c r="C304" s="320">
        <v>0</v>
      </c>
      <c r="D304" s="320">
        <v>0</v>
      </c>
      <c r="E304" s="320">
        <v>0</v>
      </c>
      <c r="F304" s="321"/>
      <c r="G304" s="317" t="s">
        <v>372</v>
      </c>
      <c r="H304" s="317" t="s">
        <v>93</v>
      </c>
      <c r="I304" s="303">
        <v>7085</v>
      </c>
      <c r="J304" s="303">
        <v>6182</v>
      </c>
      <c r="K304" s="303">
        <v>7649</v>
      </c>
      <c r="L304" s="322">
        <f>K304/J304*100</f>
        <v>123.73018440634098</v>
      </c>
    </row>
    <row r="305" spans="1:12" ht="12.75">
      <c r="A305" s="323" t="s">
        <v>373</v>
      </c>
      <c r="B305" s="293" t="s">
        <v>374</v>
      </c>
      <c r="C305" s="303">
        <v>0</v>
      </c>
      <c r="D305" s="303">
        <v>0</v>
      </c>
      <c r="E305" s="303">
        <v>0</v>
      </c>
      <c r="F305" s="322"/>
      <c r="G305" s="317" t="s">
        <v>194</v>
      </c>
      <c r="H305" s="317" t="s">
        <v>269</v>
      </c>
      <c r="I305" s="303">
        <v>4927</v>
      </c>
      <c r="J305" s="303">
        <v>2120</v>
      </c>
      <c r="K305" s="303">
        <v>2621</v>
      </c>
      <c r="L305" s="322">
        <f>K305/J305*100</f>
        <v>123.63207547169812</v>
      </c>
    </row>
    <row r="306" spans="1:12" ht="12.75">
      <c r="A306" s="323" t="s">
        <v>375</v>
      </c>
      <c r="B306" s="293" t="s">
        <v>376</v>
      </c>
      <c r="C306" s="303"/>
      <c r="D306" s="303"/>
      <c r="E306" s="303">
        <v>0</v>
      </c>
      <c r="F306" s="322"/>
      <c r="G306" s="317" t="s">
        <v>195</v>
      </c>
      <c r="H306" s="317" t="s">
        <v>377</v>
      </c>
      <c r="I306" s="303"/>
      <c r="J306" s="303"/>
      <c r="K306" s="303">
        <f>SUM(K307:K311)</f>
        <v>1288</v>
      </c>
      <c r="L306" s="322"/>
    </row>
    <row r="307" spans="1:12" ht="12.75">
      <c r="A307" s="323" t="s">
        <v>378</v>
      </c>
      <c r="B307" s="293" t="s">
        <v>379</v>
      </c>
      <c r="C307" s="303"/>
      <c r="D307" s="303"/>
      <c r="E307" s="303"/>
      <c r="F307" s="322"/>
      <c r="G307" s="311" t="s">
        <v>100</v>
      </c>
      <c r="H307" s="293" t="s">
        <v>96</v>
      </c>
      <c r="I307" s="303"/>
      <c r="J307" s="303"/>
      <c r="K307" s="303">
        <v>1288</v>
      </c>
      <c r="L307" s="322"/>
    </row>
    <row r="308" spans="1:12" ht="12.75">
      <c r="A308" s="324" t="s">
        <v>192</v>
      </c>
      <c r="B308" s="317" t="s">
        <v>186</v>
      </c>
      <c r="C308" s="303"/>
      <c r="D308" s="303"/>
      <c r="E308" s="303"/>
      <c r="F308" s="322"/>
      <c r="G308" s="311" t="s">
        <v>101</v>
      </c>
      <c r="H308" s="293" t="s">
        <v>380</v>
      </c>
      <c r="I308" s="303"/>
      <c r="J308" s="303"/>
      <c r="K308" s="303"/>
      <c r="L308" s="322"/>
    </row>
    <row r="309" spans="1:12" ht="12.75">
      <c r="A309" s="311" t="s">
        <v>100</v>
      </c>
      <c r="B309" s="296" t="s">
        <v>381</v>
      </c>
      <c r="C309" s="320">
        <f>SUM(C310:C312)</f>
        <v>12308</v>
      </c>
      <c r="D309" s="320">
        <f>SUM(D310:D312)</f>
        <v>11624</v>
      </c>
      <c r="E309" s="320">
        <f>SUM(E310:E312)</f>
        <v>20454</v>
      </c>
      <c r="F309" s="321">
        <f>E309/D309*100</f>
        <v>175.96352374397796</v>
      </c>
      <c r="G309" s="311" t="s">
        <v>102</v>
      </c>
      <c r="H309" s="293" t="s">
        <v>382</v>
      </c>
      <c r="I309" s="303">
        <v>0</v>
      </c>
      <c r="J309" s="303">
        <v>0</v>
      </c>
      <c r="K309" s="303">
        <v>0</v>
      </c>
      <c r="L309" s="322"/>
    </row>
    <row r="310" spans="1:12" ht="12.75">
      <c r="A310" s="311" t="s">
        <v>383</v>
      </c>
      <c r="B310" s="293" t="s">
        <v>384</v>
      </c>
      <c r="C310" s="303">
        <v>10233</v>
      </c>
      <c r="D310" s="303">
        <v>9691</v>
      </c>
      <c r="E310" s="303">
        <v>20360</v>
      </c>
      <c r="F310" s="322">
        <f>E310/D310*100</f>
        <v>210.091837787638</v>
      </c>
      <c r="G310" s="311" t="s">
        <v>103</v>
      </c>
      <c r="H310" s="293" t="s">
        <v>385</v>
      </c>
      <c r="I310" s="303">
        <v>0</v>
      </c>
      <c r="J310" s="303">
        <v>0</v>
      </c>
      <c r="K310" s="303">
        <v>0</v>
      </c>
      <c r="L310" s="322"/>
    </row>
    <row r="311" spans="1:12" ht="12.75">
      <c r="A311" s="311" t="s">
        <v>386</v>
      </c>
      <c r="B311" s="293" t="s">
        <v>387</v>
      </c>
      <c r="C311" s="303">
        <v>2075</v>
      </c>
      <c r="D311" s="303">
        <v>1886</v>
      </c>
      <c r="E311" s="303"/>
      <c r="F311" s="322">
        <f>E311/D311*100</f>
        <v>0</v>
      </c>
      <c r="G311" s="311" t="s">
        <v>104</v>
      </c>
      <c r="H311" s="293" t="s">
        <v>388</v>
      </c>
      <c r="I311" s="303">
        <v>0</v>
      </c>
      <c r="J311" s="303">
        <v>0</v>
      </c>
      <c r="K311" s="303">
        <v>0</v>
      </c>
      <c r="L311" s="322"/>
    </row>
    <row r="312" spans="1:12" ht="12.75">
      <c r="A312" s="311" t="s">
        <v>389</v>
      </c>
      <c r="B312" s="293" t="s">
        <v>390</v>
      </c>
      <c r="C312" s="303">
        <v>0</v>
      </c>
      <c r="D312" s="303">
        <v>47</v>
      </c>
      <c r="E312" s="303">
        <v>94</v>
      </c>
      <c r="F312" s="322">
        <f>E312/D312*100</f>
        <v>200</v>
      </c>
      <c r="G312" s="311"/>
      <c r="H312" s="293"/>
      <c r="I312" s="303"/>
      <c r="J312" s="303"/>
      <c r="K312" s="303"/>
      <c r="L312" s="322"/>
    </row>
    <row r="313" spans="1:12" ht="12.75">
      <c r="A313" s="317" t="s">
        <v>391</v>
      </c>
      <c r="B313" s="317" t="s">
        <v>392</v>
      </c>
      <c r="C313" s="303">
        <v>9441</v>
      </c>
      <c r="D313" s="303">
        <v>6001</v>
      </c>
      <c r="E313" s="303">
        <v>11674</v>
      </c>
      <c r="F313" s="322">
        <f>E313/D313*100</f>
        <v>194.5342442926179</v>
      </c>
      <c r="G313" s="317" t="s">
        <v>197</v>
      </c>
      <c r="H313" s="317" t="s">
        <v>393</v>
      </c>
      <c r="I313" s="303"/>
      <c r="J313" s="303"/>
      <c r="K313" s="303"/>
      <c r="L313" s="322"/>
    </row>
    <row r="314" spans="1:12" ht="12.75">
      <c r="A314" s="317" t="s">
        <v>394</v>
      </c>
      <c r="B314" s="317" t="s">
        <v>395</v>
      </c>
      <c r="C314" s="303"/>
      <c r="D314" s="303"/>
      <c r="E314" s="303"/>
      <c r="F314" s="322"/>
      <c r="G314" s="317" t="s">
        <v>198</v>
      </c>
      <c r="H314" s="317" t="s">
        <v>396</v>
      </c>
      <c r="I314" s="303"/>
      <c r="J314" s="303"/>
      <c r="K314" s="303"/>
      <c r="L314" s="322"/>
    </row>
    <row r="315" spans="1:12" ht="12.75">
      <c r="A315" s="311"/>
      <c r="B315" s="293" t="s">
        <v>397</v>
      </c>
      <c r="C315" s="303"/>
      <c r="D315" s="303"/>
      <c r="E315" s="303"/>
      <c r="F315" s="322"/>
      <c r="G315" s="311" t="s">
        <v>100</v>
      </c>
      <c r="H315" s="293" t="s">
        <v>398</v>
      </c>
      <c r="I315" s="303"/>
      <c r="J315" s="303"/>
      <c r="K315" s="303"/>
      <c r="L315" s="322"/>
    </row>
    <row r="316" spans="1:12" ht="12.75">
      <c r="A316" s="317" t="s">
        <v>399</v>
      </c>
      <c r="B316" s="317" t="s">
        <v>400</v>
      </c>
      <c r="C316" s="320">
        <v>0</v>
      </c>
      <c r="D316" s="320">
        <v>0</v>
      </c>
      <c r="E316" s="320">
        <v>0</v>
      </c>
      <c r="F316" s="321"/>
      <c r="G316" s="311" t="s">
        <v>101</v>
      </c>
      <c r="H316" s="293" t="s">
        <v>401</v>
      </c>
      <c r="I316" s="303"/>
      <c r="J316" s="303"/>
      <c r="K316" s="303"/>
      <c r="L316" s="322"/>
    </row>
    <row r="317" spans="1:12" ht="12.75">
      <c r="A317" s="317" t="s">
        <v>198</v>
      </c>
      <c r="B317" s="317" t="s">
        <v>402</v>
      </c>
      <c r="C317" s="303"/>
      <c r="D317" s="303"/>
      <c r="E317" s="303"/>
      <c r="F317" s="322"/>
      <c r="G317" s="311"/>
      <c r="H317" s="293"/>
      <c r="I317" s="303"/>
      <c r="J317" s="303"/>
      <c r="K317" s="303"/>
      <c r="L317" s="322"/>
    </row>
    <row r="318" spans="1:12" ht="12.75">
      <c r="A318" s="311"/>
      <c r="B318" s="301" t="s">
        <v>403</v>
      </c>
      <c r="C318" s="304">
        <f>SUM(C303+C304+C309+C313+C314+C316+C317)</f>
        <v>21749</v>
      </c>
      <c r="D318" s="304">
        <f>SUM(D303+D304+D309+D313+D314+D316+D317)</f>
        <v>17937</v>
      </c>
      <c r="E318" s="304">
        <f>SUM(E303+E304+E309+E313+E314+E316+E317)</f>
        <v>32128</v>
      </c>
      <c r="F318" s="325">
        <f>E318/D318*100</f>
        <v>179.11579416847857</v>
      </c>
      <c r="G318" s="311"/>
      <c r="H318" s="301" t="s">
        <v>404</v>
      </c>
      <c r="I318" s="304">
        <f>SUM(I303:I305)</f>
        <v>34448</v>
      </c>
      <c r="J318" s="304">
        <f>SUM(J303:J305)</f>
        <v>28342</v>
      </c>
      <c r="K318" s="304">
        <f>SUM(K303:K306)</f>
        <v>34485</v>
      </c>
      <c r="L318" s="326">
        <f>K318/J318*100</f>
        <v>121.67454660927245</v>
      </c>
    </row>
    <row r="319" spans="1:12" ht="12.75">
      <c r="A319" s="311"/>
      <c r="B319" s="327" t="s">
        <v>405</v>
      </c>
      <c r="C319" s="328">
        <f>I318-C318</f>
        <v>12699</v>
      </c>
      <c r="D319" s="328">
        <f>J318-D318</f>
        <v>10405</v>
      </c>
      <c r="E319" s="328">
        <f>K318-E318</f>
        <v>2357</v>
      </c>
      <c r="F319" s="322">
        <f>E319/D319*100</f>
        <v>22.65257087938491</v>
      </c>
      <c r="G319" s="311"/>
      <c r="H319" s="293" t="s">
        <v>406</v>
      </c>
      <c r="I319" s="328"/>
      <c r="J319" s="328"/>
      <c r="K319" s="328"/>
      <c r="L319" s="322"/>
    </row>
    <row r="320" spans="1:12" ht="12.75">
      <c r="A320" s="311"/>
      <c r="B320" s="317" t="s">
        <v>407</v>
      </c>
      <c r="C320" s="303"/>
      <c r="D320" s="303"/>
      <c r="E320" s="303"/>
      <c r="F320" s="322"/>
      <c r="G320" s="311"/>
      <c r="H320" s="301" t="s">
        <v>408</v>
      </c>
      <c r="I320" s="304">
        <f>SUM(I318:I319)</f>
        <v>34448</v>
      </c>
      <c r="J320" s="304">
        <f>SUM(J318:J319)</f>
        <v>28342</v>
      </c>
      <c r="K320" s="304">
        <f>SUM(K318:K319)</f>
        <v>34485</v>
      </c>
      <c r="L320" s="326">
        <f>K320/J320*100</f>
        <v>121.67454660927245</v>
      </c>
    </row>
    <row r="321" spans="1:12" ht="12.75">
      <c r="A321" s="317" t="s">
        <v>409</v>
      </c>
      <c r="B321" s="317" t="s">
        <v>410</v>
      </c>
      <c r="C321" s="303"/>
      <c r="D321" s="303"/>
      <c r="E321" s="303"/>
      <c r="F321" s="322"/>
      <c r="G321" s="311"/>
      <c r="H321" s="327" t="s">
        <v>411</v>
      </c>
      <c r="I321" s="303"/>
      <c r="J321" s="303"/>
      <c r="K321" s="303"/>
      <c r="L321" s="322"/>
    </row>
    <row r="322" spans="1:12" ht="12.75">
      <c r="A322" s="317" t="s">
        <v>412</v>
      </c>
      <c r="B322" s="317" t="s">
        <v>413</v>
      </c>
      <c r="C322" s="303"/>
      <c r="D322" s="303"/>
      <c r="E322" s="303"/>
      <c r="F322" s="322"/>
      <c r="G322" s="311"/>
      <c r="H322" s="317" t="s">
        <v>94</v>
      </c>
      <c r="I322" s="303"/>
      <c r="J322" s="303"/>
      <c r="K322" s="303"/>
      <c r="L322" s="322"/>
    </row>
    <row r="323" spans="1:12" ht="12.75">
      <c r="A323" s="317" t="s">
        <v>414</v>
      </c>
      <c r="B323" s="317" t="s">
        <v>415</v>
      </c>
      <c r="C323" s="303"/>
      <c r="D323" s="303"/>
      <c r="E323" s="303"/>
      <c r="F323" s="322"/>
      <c r="G323" s="317" t="s">
        <v>194</v>
      </c>
      <c r="H323" s="317" t="s">
        <v>416</v>
      </c>
      <c r="I323" s="303"/>
      <c r="J323" s="303"/>
      <c r="K323" s="303"/>
      <c r="L323" s="322"/>
    </row>
    <row r="324" spans="1:12" ht="12.75">
      <c r="A324" s="317" t="s">
        <v>417</v>
      </c>
      <c r="B324" s="317" t="s">
        <v>193</v>
      </c>
      <c r="C324" s="303"/>
      <c r="D324" s="303"/>
      <c r="E324" s="303"/>
      <c r="F324" s="322"/>
      <c r="G324" s="317" t="s">
        <v>195</v>
      </c>
      <c r="H324" s="317" t="s">
        <v>377</v>
      </c>
      <c r="I324" s="303"/>
      <c r="J324" s="303"/>
      <c r="K324" s="303"/>
      <c r="L324" s="322"/>
    </row>
    <row r="325" spans="1:12" ht="12.75">
      <c r="A325" s="317" t="s">
        <v>194</v>
      </c>
      <c r="B325" s="317" t="s">
        <v>418</v>
      </c>
      <c r="C325" s="303"/>
      <c r="D325" s="303"/>
      <c r="E325" s="303"/>
      <c r="F325" s="322"/>
      <c r="G325" s="311" t="s">
        <v>100</v>
      </c>
      <c r="H325" s="293" t="s">
        <v>96</v>
      </c>
      <c r="I325" s="303"/>
      <c r="J325" s="303"/>
      <c r="K325" s="303"/>
      <c r="L325" s="322"/>
    </row>
    <row r="326" spans="1:12" ht="12.75">
      <c r="A326" s="311" t="s">
        <v>100</v>
      </c>
      <c r="B326" s="330" t="s">
        <v>419</v>
      </c>
      <c r="C326" s="303"/>
      <c r="D326" s="303"/>
      <c r="E326" s="303"/>
      <c r="F326" s="322"/>
      <c r="G326" s="311" t="s">
        <v>101</v>
      </c>
      <c r="H326" s="293" t="s">
        <v>420</v>
      </c>
      <c r="I326" s="303"/>
      <c r="J326" s="303"/>
      <c r="K326" s="303"/>
      <c r="L326" s="322"/>
    </row>
    <row r="327" spans="1:12" ht="12.75">
      <c r="A327" s="311" t="s">
        <v>101</v>
      </c>
      <c r="B327" s="330" t="s">
        <v>421</v>
      </c>
      <c r="C327" s="303"/>
      <c r="D327" s="303"/>
      <c r="E327" s="303"/>
      <c r="F327" s="322"/>
      <c r="G327" s="317" t="s">
        <v>196</v>
      </c>
      <c r="H327" s="317" t="s">
        <v>422</v>
      </c>
      <c r="I327" s="303"/>
      <c r="J327" s="303"/>
      <c r="K327" s="303"/>
      <c r="L327" s="322"/>
    </row>
    <row r="328" spans="1:12" ht="12.75">
      <c r="A328" s="311" t="s">
        <v>102</v>
      </c>
      <c r="B328" s="330" t="s">
        <v>161</v>
      </c>
      <c r="C328" s="303"/>
      <c r="D328" s="303"/>
      <c r="E328" s="303"/>
      <c r="F328" s="322"/>
      <c r="G328" s="311" t="s">
        <v>100</v>
      </c>
      <c r="H328" s="330" t="s">
        <v>117</v>
      </c>
      <c r="I328" s="303"/>
      <c r="J328" s="303"/>
      <c r="K328" s="303"/>
      <c r="L328" s="322"/>
    </row>
    <row r="329" spans="1:12" ht="12.75">
      <c r="A329" s="317" t="s">
        <v>423</v>
      </c>
      <c r="B329" s="317" t="s">
        <v>424</v>
      </c>
      <c r="C329" s="303"/>
      <c r="D329" s="303"/>
      <c r="E329" s="303"/>
      <c r="F329" s="322"/>
      <c r="G329" s="311" t="s">
        <v>101</v>
      </c>
      <c r="H329" s="330" t="s">
        <v>97</v>
      </c>
      <c r="I329" s="303"/>
      <c r="J329" s="303"/>
      <c r="K329" s="303"/>
      <c r="L329" s="322"/>
    </row>
    <row r="330" spans="1:12" ht="12.75">
      <c r="A330" s="317" t="s">
        <v>425</v>
      </c>
      <c r="B330" s="317" t="s">
        <v>426</v>
      </c>
      <c r="C330" s="303"/>
      <c r="D330" s="303"/>
      <c r="E330" s="303"/>
      <c r="F330" s="322"/>
      <c r="G330" s="311" t="s">
        <v>102</v>
      </c>
      <c r="H330" s="293" t="s">
        <v>163</v>
      </c>
      <c r="I330" s="303"/>
      <c r="J330" s="303"/>
      <c r="K330" s="303"/>
      <c r="L330" s="322"/>
    </row>
    <row r="331" spans="1:12" ht="12.75">
      <c r="A331" s="317" t="s">
        <v>196</v>
      </c>
      <c r="B331" s="317" t="s">
        <v>427</v>
      </c>
      <c r="C331" s="303">
        <v>0</v>
      </c>
      <c r="D331" s="303">
        <v>0</v>
      </c>
      <c r="E331" s="303">
        <v>0</v>
      </c>
      <c r="F331" s="322"/>
      <c r="G331" s="317" t="s">
        <v>197</v>
      </c>
      <c r="H331" s="317" t="s">
        <v>428</v>
      </c>
      <c r="I331" s="303"/>
      <c r="J331" s="303"/>
      <c r="K331" s="303"/>
      <c r="L331" s="322"/>
    </row>
    <row r="332" spans="1:12" ht="12.75">
      <c r="A332" s="317" t="s">
        <v>197</v>
      </c>
      <c r="B332" s="317" t="s">
        <v>428</v>
      </c>
      <c r="C332" s="303">
        <v>0</v>
      </c>
      <c r="D332" s="303">
        <v>0</v>
      </c>
      <c r="E332" s="303">
        <v>0</v>
      </c>
      <c r="F332" s="322"/>
      <c r="G332" s="317" t="s">
        <v>198</v>
      </c>
      <c r="H332" s="317" t="s">
        <v>396</v>
      </c>
      <c r="I332" s="303"/>
      <c r="J332" s="303"/>
      <c r="K332" s="303"/>
      <c r="L332" s="322"/>
    </row>
    <row r="333" spans="1:12" ht="12.75">
      <c r="A333" s="317" t="s">
        <v>198</v>
      </c>
      <c r="B333" s="317" t="s">
        <v>402</v>
      </c>
      <c r="C333" s="303"/>
      <c r="D333" s="303">
        <v>0</v>
      </c>
      <c r="E333" s="303">
        <v>0</v>
      </c>
      <c r="F333" s="322"/>
      <c r="G333" s="311" t="s">
        <v>100</v>
      </c>
      <c r="H333" s="293" t="s">
        <v>398</v>
      </c>
      <c r="I333" s="303"/>
      <c r="J333" s="303"/>
      <c r="K333" s="303"/>
      <c r="L333" s="322"/>
    </row>
    <row r="334" spans="1:12" ht="12.75">
      <c r="A334" s="311"/>
      <c r="B334" s="301" t="s">
        <v>429</v>
      </c>
      <c r="C334" s="304">
        <f>SUM(C331:C333)</f>
        <v>0</v>
      </c>
      <c r="D334" s="304">
        <f>SUM(D331:D333)</f>
        <v>0</v>
      </c>
      <c r="E334" s="304">
        <f>SUM(E331:E333)</f>
        <v>0</v>
      </c>
      <c r="F334" s="326"/>
      <c r="G334" s="311" t="s">
        <v>441</v>
      </c>
      <c r="H334" s="301" t="s">
        <v>430</v>
      </c>
      <c r="I334" s="304">
        <f>SUM(I331:I333)</f>
        <v>0</v>
      </c>
      <c r="J334" s="304">
        <f>SUM(J331:J333)</f>
        <v>0</v>
      </c>
      <c r="K334" s="304">
        <f>SUM(K331:K333)</f>
        <v>0</v>
      </c>
      <c r="L334" s="326"/>
    </row>
    <row r="335" spans="1:12" ht="12.75">
      <c r="A335" s="311"/>
      <c r="B335" s="327" t="s">
        <v>433</v>
      </c>
      <c r="C335" s="328">
        <f>I334-C334</f>
        <v>0</v>
      </c>
      <c r="D335" s="328">
        <f>J334-D334</f>
        <v>0</v>
      </c>
      <c r="E335" s="328"/>
      <c r="F335" s="331"/>
      <c r="G335" s="311" t="s">
        <v>442</v>
      </c>
      <c r="H335" s="293" t="s">
        <v>434</v>
      </c>
      <c r="I335" s="303"/>
      <c r="J335" s="303"/>
      <c r="K335" s="303">
        <f>E334-K334</f>
        <v>0</v>
      </c>
      <c r="L335" s="322"/>
    </row>
    <row r="336" spans="1:12" ht="13.5">
      <c r="A336" s="311"/>
      <c r="B336" s="332" t="s">
        <v>435</v>
      </c>
      <c r="C336" s="333">
        <f>SUM(C335+C319)</f>
        <v>12699</v>
      </c>
      <c r="D336" s="333">
        <f>SUM(D335+D319)</f>
        <v>10405</v>
      </c>
      <c r="E336" s="333">
        <f>SUM(E335+E319)</f>
        <v>2357</v>
      </c>
      <c r="F336" s="334"/>
      <c r="G336" s="311" t="s">
        <v>443</v>
      </c>
      <c r="H336" s="332" t="s">
        <v>436</v>
      </c>
      <c r="I336" s="303">
        <f>SUM(I319,I335)</f>
        <v>0</v>
      </c>
      <c r="J336" s="303">
        <f>SUM(J319,J335)</f>
        <v>0</v>
      </c>
      <c r="K336" s="320">
        <f>SUM(K319,K335)</f>
        <v>0</v>
      </c>
      <c r="L336" s="322"/>
    </row>
    <row r="337" spans="1:12" ht="12.75">
      <c r="A337" s="311"/>
      <c r="B337" s="301" t="s">
        <v>464</v>
      </c>
      <c r="C337" s="304">
        <f>SUM(C334+C318+C336)</f>
        <v>34448</v>
      </c>
      <c r="D337" s="304">
        <f>SUM(D334+D318+D336)</f>
        <v>28342</v>
      </c>
      <c r="E337" s="304">
        <f>SUM(E334+E318+E336)</f>
        <v>34485</v>
      </c>
      <c r="F337" s="326">
        <f>E337/D337*100</f>
        <v>121.67454660927245</v>
      </c>
      <c r="G337" s="311" t="s">
        <v>445</v>
      </c>
      <c r="H337" s="301" t="s">
        <v>464</v>
      </c>
      <c r="I337" s="304">
        <f>SUM(I320,I334,I336)</f>
        <v>34448</v>
      </c>
      <c r="J337" s="304">
        <f>SUM(J320,J334,J336)</f>
        <v>28342</v>
      </c>
      <c r="K337" s="304">
        <f>SUM(K320,K334,K336)</f>
        <v>34485</v>
      </c>
      <c r="L337" s="326">
        <f>K337/J337*100</f>
        <v>121.67454660927245</v>
      </c>
    </row>
    <row r="338" spans="1:12" ht="12.75">
      <c r="A338" s="564" t="s">
        <v>465</v>
      </c>
      <c r="B338" s="564"/>
      <c r="C338" s="564"/>
      <c r="D338" s="564"/>
      <c r="E338" s="564"/>
      <c r="F338" s="564"/>
      <c r="G338" s="564"/>
      <c r="H338" s="564"/>
      <c r="I338" s="564"/>
      <c r="J338" s="564"/>
      <c r="K338" s="564"/>
      <c r="L338" s="564"/>
    </row>
    <row r="339" spans="1:12" ht="12.75">
      <c r="A339" s="564"/>
      <c r="B339" s="564"/>
      <c r="C339" s="564"/>
      <c r="D339" s="564"/>
      <c r="E339" s="564"/>
      <c r="F339" s="564"/>
      <c r="G339" s="564"/>
      <c r="H339" s="564"/>
      <c r="I339" s="564"/>
      <c r="J339" s="564"/>
      <c r="K339" s="564"/>
      <c r="L339" s="564"/>
    </row>
    <row r="340" spans="1:12" ht="15.75">
      <c r="A340" s="315" t="s">
        <v>447</v>
      </c>
      <c r="C340" s="335" t="s">
        <v>466</v>
      </c>
      <c r="I340" s="565" t="s">
        <v>364</v>
      </c>
      <c r="J340" s="566"/>
      <c r="K340" s="566"/>
      <c r="L340" s="566"/>
    </row>
    <row r="341" spans="1:12" ht="12.75">
      <c r="A341" s="567" t="s">
        <v>365</v>
      </c>
      <c r="B341" s="569" t="s">
        <v>142</v>
      </c>
      <c r="C341" s="571" t="s">
        <v>366</v>
      </c>
      <c r="D341" s="571" t="s">
        <v>367</v>
      </c>
      <c r="E341" s="571" t="s">
        <v>155</v>
      </c>
      <c r="F341" s="559" t="s">
        <v>368</v>
      </c>
      <c r="G341" s="567" t="s">
        <v>365</v>
      </c>
      <c r="H341" s="569" t="s">
        <v>369</v>
      </c>
      <c r="I341" s="571" t="s">
        <v>366</v>
      </c>
      <c r="J341" s="571" t="s">
        <v>367</v>
      </c>
      <c r="K341" s="571" t="s">
        <v>155</v>
      </c>
      <c r="L341" s="559" t="s">
        <v>368</v>
      </c>
    </row>
    <row r="342" spans="1:12" ht="12.75">
      <c r="A342" s="567"/>
      <c r="B342" s="569"/>
      <c r="C342" s="572"/>
      <c r="D342" s="572"/>
      <c r="E342" s="572"/>
      <c r="F342" s="560"/>
      <c r="G342" s="567"/>
      <c r="H342" s="569"/>
      <c r="I342" s="572"/>
      <c r="J342" s="572"/>
      <c r="K342" s="572"/>
      <c r="L342" s="560"/>
    </row>
    <row r="343" spans="1:12" ht="12.75">
      <c r="A343" s="568"/>
      <c r="B343" s="570"/>
      <c r="C343" s="573"/>
      <c r="D343" s="573"/>
      <c r="E343" s="573"/>
      <c r="F343" s="553"/>
      <c r="G343" s="568"/>
      <c r="H343" s="570"/>
      <c r="I343" s="573"/>
      <c r="J343" s="573"/>
      <c r="K343" s="573"/>
      <c r="L343" s="553"/>
    </row>
    <row r="344" spans="1:12" ht="12.75">
      <c r="A344" s="317" t="s">
        <v>88</v>
      </c>
      <c r="B344" s="317" t="s">
        <v>185</v>
      </c>
      <c r="C344" s="318"/>
      <c r="D344" s="318"/>
      <c r="E344" s="318"/>
      <c r="F344" s="317"/>
      <c r="G344" s="317"/>
      <c r="H344" s="317" t="s">
        <v>91</v>
      </c>
      <c r="I344" s="318">
        <f>SUM(I345:I347,I348,I355,I356)</f>
        <v>31294</v>
      </c>
      <c r="J344" s="318">
        <f>SUM(J345:J347,J348,J355,J356)</f>
        <v>26151</v>
      </c>
      <c r="K344" s="318">
        <f>SUM(K345:K347,K348,K355,K356)</f>
        <v>34523</v>
      </c>
      <c r="L344" s="319">
        <f>K344/J344*100</f>
        <v>132.01407211961302</v>
      </c>
    </row>
    <row r="345" spans="1:12" ht="12.75">
      <c r="A345" s="311" t="s">
        <v>100</v>
      </c>
      <c r="B345" s="296" t="s">
        <v>370</v>
      </c>
      <c r="C345" s="320">
        <v>697</v>
      </c>
      <c r="D345" s="320">
        <v>820</v>
      </c>
      <c r="E345" s="320">
        <v>980</v>
      </c>
      <c r="F345" s="321">
        <f>E345/D345*100</f>
        <v>119.51219512195121</v>
      </c>
      <c r="G345" s="317" t="s">
        <v>88</v>
      </c>
      <c r="H345" s="317" t="s">
        <v>92</v>
      </c>
      <c r="I345" s="303">
        <v>9585</v>
      </c>
      <c r="J345" s="303">
        <v>9234</v>
      </c>
      <c r="K345" s="303">
        <v>8753</v>
      </c>
      <c r="L345" s="322">
        <f>K345/J345*100</f>
        <v>94.79098982022958</v>
      </c>
    </row>
    <row r="346" spans="1:12" ht="12.75">
      <c r="A346" s="311" t="s">
        <v>101</v>
      </c>
      <c r="B346" s="296" t="s">
        <v>371</v>
      </c>
      <c r="C346" s="320">
        <v>0</v>
      </c>
      <c r="D346" s="320">
        <v>0</v>
      </c>
      <c r="E346" s="320">
        <v>0</v>
      </c>
      <c r="F346" s="321"/>
      <c r="G346" s="317" t="s">
        <v>372</v>
      </c>
      <c r="H346" s="317" t="s">
        <v>93</v>
      </c>
      <c r="I346" s="303">
        <v>3167</v>
      </c>
      <c r="J346" s="303">
        <v>2853</v>
      </c>
      <c r="K346" s="303">
        <v>2891</v>
      </c>
      <c r="L346" s="322">
        <f>K346/J346*100</f>
        <v>101.33193130038556</v>
      </c>
    </row>
    <row r="347" spans="1:12" ht="12.75">
      <c r="A347" s="323" t="s">
        <v>373</v>
      </c>
      <c r="B347" s="293" t="s">
        <v>374</v>
      </c>
      <c r="C347" s="303">
        <v>0</v>
      </c>
      <c r="D347" s="303">
        <v>0</v>
      </c>
      <c r="E347" s="303">
        <v>0</v>
      </c>
      <c r="F347" s="322"/>
      <c r="G347" s="317" t="s">
        <v>194</v>
      </c>
      <c r="H347" s="317" t="s">
        <v>269</v>
      </c>
      <c r="I347" s="303">
        <v>18542</v>
      </c>
      <c r="J347" s="303">
        <v>14064</v>
      </c>
      <c r="K347" s="303">
        <v>22879</v>
      </c>
      <c r="L347" s="322">
        <f>K347/J347*100</f>
        <v>162.67775881683733</v>
      </c>
    </row>
    <row r="348" spans="1:12" ht="12.75">
      <c r="A348" s="323" t="s">
        <v>375</v>
      </c>
      <c r="B348" s="293" t="s">
        <v>376</v>
      </c>
      <c r="C348" s="303"/>
      <c r="D348" s="303"/>
      <c r="E348" s="303"/>
      <c r="F348" s="322"/>
      <c r="G348" s="317" t="s">
        <v>195</v>
      </c>
      <c r="H348" s="317" t="s">
        <v>377</v>
      </c>
      <c r="I348" s="303"/>
      <c r="J348" s="303"/>
      <c r="K348" s="303"/>
      <c r="L348" s="322"/>
    </row>
    <row r="349" spans="1:12" ht="12.75">
      <c r="A349" s="323" t="s">
        <v>378</v>
      </c>
      <c r="B349" s="293" t="s">
        <v>379</v>
      </c>
      <c r="C349" s="303"/>
      <c r="D349" s="303"/>
      <c r="E349" s="303"/>
      <c r="F349" s="322"/>
      <c r="G349" s="311" t="s">
        <v>100</v>
      </c>
      <c r="H349" s="293" t="s">
        <v>96</v>
      </c>
      <c r="I349" s="303"/>
      <c r="J349" s="303"/>
      <c r="K349" s="303"/>
      <c r="L349" s="322"/>
    </row>
    <row r="350" spans="1:12" ht="12.75">
      <c r="A350" s="324" t="s">
        <v>192</v>
      </c>
      <c r="B350" s="317" t="s">
        <v>186</v>
      </c>
      <c r="C350" s="303"/>
      <c r="D350" s="303"/>
      <c r="E350" s="303"/>
      <c r="F350" s="322"/>
      <c r="G350" s="311" t="s">
        <v>101</v>
      </c>
      <c r="H350" s="293" t="s">
        <v>380</v>
      </c>
      <c r="I350" s="303"/>
      <c r="J350" s="303"/>
      <c r="K350" s="303"/>
      <c r="L350" s="322"/>
    </row>
    <row r="351" spans="1:12" ht="12.75">
      <c r="A351" s="311" t="s">
        <v>100</v>
      </c>
      <c r="B351" s="296" t="s">
        <v>381</v>
      </c>
      <c r="C351" s="320">
        <f>SUM(C352:C354)</f>
        <v>6720</v>
      </c>
      <c r="D351" s="320">
        <f>SUM(D352:D354)</f>
        <v>7593</v>
      </c>
      <c r="E351" s="320">
        <f>SUM(E352:E354)</f>
        <v>5923</v>
      </c>
      <c r="F351" s="321">
        <f>E351/D351*100</f>
        <v>78.00605821151059</v>
      </c>
      <c r="G351" s="311" t="s">
        <v>102</v>
      </c>
      <c r="H351" s="293" t="s">
        <v>382</v>
      </c>
      <c r="I351" s="303">
        <v>0</v>
      </c>
      <c r="J351" s="303">
        <v>0</v>
      </c>
      <c r="K351" s="303">
        <v>0</v>
      </c>
      <c r="L351" s="322"/>
    </row>
    <row r="352" spans="1:12" ht="12.75">
      <c r="A352" s="311" t="s">
        <v>383</v>
      </c>
      <c r="B352" s="293" t="s">
        <v>384</v>
      </c>
      <c r="C352" s="303">
        <v>6374</v>
      </c>
      <c r="D352" s="303">
        <v>6374</v>
      </c>
      <c r="E352" s="303">
        <v>5923</v>
      </c>
      <c r="F352" s="322">
        <f>E352/D352*100</f>
        <v>92.92438029494822</v>
      </c>
      <c r="G352" s="311" t="s">
        <v>103</v>
      </c>
      <c r="H352" s="293" t="s">
        <v>385</v>
      </c>
      <c r="I352" s="303">
        <v>0</v>
      </c>
      <c r="J352" s="303">
        <v>0</v>
      </c>
      <c r="K352" s="303">
        <v>0</v>
      </c>
      <c r="L352" s="322"/>
    </row>
    <row r="353" spans="1:12" ht="12.75">
      <c r="A353" s="311" t="s">
        <v>386</v>
      </c>
      <c r="B353" s="293" t="s">
        <v>387</v>
      </c>
      <c r="C353" s="303">
        <v>346</v>
      </c>
      <c r="D353" s="303">
        <v>1219</v>
      </c>
      <c r="E353" s="303">
        <v>0</v>
      </c>
      <c r="F353" s="322">
        <f>E353/D353*100</f>
        <v>0</v>
      </c>
      <c r="G353" s="311" t="s">
        <v>104</v>
      </c>
      <c r="H353" s="293" t="s">
        <v>388</v>
      </c>
      <c r="I353" s="303">
        <v>0</v>
      </c>
      <c r="J353" s="303">
        <v>0</v>
      </c>
      <c r="K353" s="303">
        <v>0</v>
      </c>
      <c r="L353" s="322"/>
    </row>
    <row r="354" spans="1:12" ht="12.75">
      <c r="A354" s="311" t="s">
        <v>389</v>
      </c>
      <c r="B354" s="293" t="s">
        <v>390</v>
      </c>
      <c r="C354" s="303">
        <v>0</v>
      </c>
      <c r="D354" s="303">
        <v>0</v>
      </c>
      <c r="E354" s="303">
        <v>0</v>
      </c>
      <c r="F354" s="322"/>
      <c r="G354" s="311"/>
      <c r="H354" s="293"/>
      <c r="I354" s="303"/>
      <c r="J354" s="303"/>
      <c r="K354" s="303"/>
      <c r="L354" s="322"/>
    </row>
    <row r="355" spans="1:12" ht="12.75">
      <c r="A355" s="317" t="s">
        <v>391</v>
      </c>
      <c r="B355" s="317" t="s">
        <v>392</v>
      </c>
      <c r="C355" s="303"/>
      <c r="D355" s="303">
        <v>355</v>
      </c>
      <c r="E355" s="303"/>
      <c r="F355" s="322"/>
      <c r="G355" s="317" t="s">
        <v>197</v>
      </c>
      <c r="H355" s="317" t="s">
        <v>393</v>
      </c>
      <c r="I355" s="303"/>
      <c r="J355" s="303"/>
      <c r="K355" s="303"/>
      <c r="L355" s="322"/>
    </row>
    <row r="356" spans="1:12" ht="12.75">
      <c r="A356" s="317" t="s">
        <v>394</v>
      </c>
      <c r="B356" s="317" t="s">
        <v>395</v>
      </c>
      <c r="C356" s="303"/>
      <c r="D356" s="303"/>
      <c r="E356" s="303"/>
      <c r="F356" s="322"/>
      <c r="G356" s="317" t="s">
        <v>198</v>
      </c>
      <c r="H356" s="317" t="s">
        <v>396</v>
      </c>
      <c r="I356" s="303"/>
      <c r="J356" s="303"/>
      <c r="K356" s="303"/>
      <c r="L356" s="322"/>
    </row>
    <row r="357" spans="1:12" ht="12.75">
      <c r="A357" s="311"/>
      <c r="B357" s="293" t="s">
        <v>397</v>
      </c>
      <c r="C357" s="303"/>
      <c r="D357" s="303"/>
      <c r="E357" s="303"/>
      <c r="F357" s="322"/>
      <c r="G357" s="311" t="s">
        <v>100</v>
      </c>
      <c r="H357" s="293" t="s">
        <v>398</v>
      </c>
      <c r="I357" s="303"/>
      <c r="J357" s="303"/>
      <c r="K357" s="303"/>
      <c r="L357" s="322"/>
    </row>
    <row r="358" spans="1:12" ht="12.75">
      <c r="A358" s="317" t="s">
        <v>399</v>
      </c>
      <c r="B358" s="317" t="s">
        <v>400</v>
      </c>
      <c r="C358" s="320">
        <v>0</v>
      </c>
      <c r="D358" s="320">
        <v>0</v>
      </c>
      <c r="E358" s="320">
        <v>0</v>
      </c>
      <c r="F358" s="321"/>
      <c r="G358" s="311" t="s">
        <v>101</v>
      </c>
      <c r="H358" s="293" t="s">
        <v>401</v>
      </c>
      <c r="I358" s="303"/>
      <c r="J358" s="303"/>
      <c r="K358" s="303"/>
      <c r="L358" s="322"/>
    </row>
    <row r="359" spans="1:12" ht="12.75">
      <c r="A359" s="317" t="s">
        <v>198</v>
      </c>
      <c r="B359" s="317" t="s">
        <v>402</v>
      </c>
      <c r="C359" s="303"/>
      <c r="D359" s="303"/>
      <c r="E359" s="303"/>
      <c r="F359" s="322"/>
      <c r="G359" s="311"/>
      <c r="H359" s="293"/>
      <c r="I359" s="303"/>
      <c r="J359" s="303"/>
      <c r="K359" s="303"/>
      <c r="L359" s="322"/>
    </row>
    <row r="360" spans="1:12" ht="12.75">
      <c r="A360" s="311"/>
      <c r="B360" s="301" t="s">
        <v>403</v>
      </c>
      <c r="C360" s="304">
        <f>SUM(C345+C346+C351+C355+C356+C358+C359)</f>
        <v>7417</v>
      </c>
      <c r="D360" s="304">
        <f>SUM(D345+D346+D351+D355+D356+D358+D359)</f>
        <v>8768</v>
      </c>
      <c r="E360" s="304">
        <f>SUM(E345+E346+E351+E355+E356+E358+E359)</f>
        <v>6903</v>
      </c>
      <c r="F360" s="325">
        <f>E360/D360*100</f>
        <v>78.7294708029197</v>
      </c>
      <c r="G360" s="311"/>
      <c r="H360" s="301" t="s">
        <v>404</v>
      </c>
      <c r="I360" s="304">
        <f>SUM(I345:I347)</f>
        <v>31294</v>
      </c>
      <c r="J360" s="304">
        <f>SUM(J345:J347)</f>
        <v>26151</v>
      </c>
      <c r="K360" s="304">
        <f>SUM(K345:K347)</f>
        <v>34523</v>
      </c>
      <c r="L360" s="326">
        <f>K360/J360*100</f>
        <v>132.01407211961302</v>
      </c>
    </row>
    <row r="361" spans="1:12" ht="12.75">
      <c r="A361" s="311"/>
      <c r="B361" s="327" t="s">
        <v>405</v>
      </c>
      <c r="C361" s="328">
        <f>I362-C360</f>
        <v>23877</v>
      </c>
      <c r="D361" s="328">
        <f>J362-D360</f>
        <v>17383</v>
      </c>
      <c r="E361" s="328">
        <f>K362-E360</f>
        <v>27620</v>
      </c>
      <c r="F361" s="322">
        <f>E361/D361*100</f>
        <v>158.89087039061152</v>
      </c>
      <c r="G361" s="311"/>
      <c r="H361" s="293" t="s">
        <v>406</v>
      </c>
      <c r="I361" s="328"/>
      <c r="J361" s="328"/>
      <c r="K361" s="328"/>
      <c r="L361" s="322"/>
    </row>
    <row r="362" spans="1:12" ht="12.75">
      <c r="A362" s="311"/>
      <c r="B362" s="317" t="s">
        <v>407</v>
      </c>
      <c r="C362" s="303"/>
      <c r="D362" s="303"/>
      <c r="E362" s="303"/>
      <c r="F362" s="322"/>
      <c r="G362" s="311"/>
      <c r="H362" s="301" t="s">
        <v>408</v>
      </c>
      <c r="I362" s="304">
        <f>SUM(I360:I361)</f>
        <v>31294</v>
      </c>
      <c r="J362" s="304">
        <f>SUM(J360:J361)</f>
        <v>26151</v>
      </c>
      <c r="K362" s="304">
        <f>SUM(K360:K361)</f>
        <v>34523</v>
      </c>
      <c r="L362" s="326">
        <f>K362/J362*100</f>
        <v>132.01407211961302</v>
      </c>
    </row>
    <row r="363" spans="1:12" ht="12.75">
      <c r="A363" s="317" t="s">
        <v>409</v>
      </c>
      <c r="B363" s="317" t="s">
        <v>410</v>
      </c>
      <c r="C363" s="303"/>
      <c r="D363" s="303"/>
      <c r="E363" s="303"/>
      <c r="F363" s="322"/>
      <c r="G363" s="311"/>
      <c r="H363" s="327" t="s">
        <v>411</v>
      </c>
      <c r="I363" s="303"/>
      <c r="J363" s="303"/>
      <c r="K363" s="303"/>
      <c r="L363" s="322"/>
    </row>
    <row r="364" spans="1:12" ht="12.75">
      <c r="A364" s="317" t="s">
        <v>412</v>
      </c>
      <c r="B364" s="317" t="s">
        <v>413</v>
      </c>
      <c r="C364" s="303"/>
      <c r="D364" s="303"/>
      <c r="E364" s="303"/>
      <c r="F364" s="322"/>
      <c r="G364" s="311"/>
      <c r="H364" s="317" t="s">
        <v>94</v>
      </c>
      <c r="I364" s="303"/>
      <c r="J364" s="303"/>
      <c r="K364" s="303"/>
      <c r="L364" s="322"/>
    </row>
    <row r="365" spans="1:12" ht="12.75">
      <c r="A365" s="317" t="s">
        <v>414</v>
      </c>
      <c r="B365" s="317" t="s">
        <v>415</v>
      </c>
      <c r="C365" s="303"/>
      <c r="D365" s="303"/>
      <c r="E365" s="303"/>
      <c r="F365" s="322"/>
      <c r="G365" s="317" t="s">
        <v>194</v>
      </c>
      <c r="H365" s="317" t="s">
        <v>416</v>
      </c>
      <c r="I365" s="303"/>
      <c r="J365" s="303"/>
      <c r="K365" s="303"/>
      <c r="L365" s="322"/>
    </row>
    <row r="366" spans="1:12" ht="12.75">
      <c r="A366" s="317" t="s">
        <v>417</v>
      </c>
      <c r="B366" s="317" t="s">
        <v>193</v>
      </c>
      <c r="C366" s="303"/>
      <c r="D366" s="303"/>
      <c r="E366" s="303"/>
      <c r="F366" s="322"/>
      <c r="G366" s="317" t="s">
        <v>195</v>
      </c>
      <c r="H366" s="317" t="s">
        <v>377</v>
      </c>
      <c r="I366" s="303"/>
      <c r="J366" s="303"/>
      <c r="K366" s="303"/>
      <c r="L366" s="322"/>
    </row>
    <row r="367" spans="1:12" ht="12.75">
      <c r="A367" s="317" t="s">
        <v>194</v>
      </c>
      <c r="B367" s="317" t="s">
        <v>418</v>
      </c>
      <c r="C367" s="303"/>
      <c r="D367" s="303"/>
      <c r="E367" s="303"/>
      <c r="F367" s="322"/>
      <c r="G367" s="311" t="s">
        <v>100</v>
      </c>
      <c r="H367" s="293" t="s">
        <v>96</v>
      </c>
      <c r="I367" s="303"/>
      <c r="J367" s="303"/>
      <c r="K367" s="303"/>
      <c r="L367" s="322"/>
    </row>
    <row r="368" spans="1:12" ht="12.75">
      <c r="A368" s="311" t="s">
        <v>100</v>
      </c>
      <c r="B368" s="330" t="s">
        <v>419</v>
      </c>
      <c r="C368" s="303"/>
      <c r="D368" s="303"/>
      <c r="E368" s="303"/>
      <c r="F368" s="322"/>
      <c r="G368" s="311" t="s">
        <v>101</v>
      </c>
      <c r="H368" s="293" t="s">
        <v>420</v>
      </c>
      <c r="I368" s="303"/>
      <c r="J368" s="303"/>
      <c r="K368" s="303"/>
      <c r="L368" s="322"/>
    </row>
    <row r="369" spans="1:12" ht="12.75">
      <c r="A369" s="311" t="s">
        <v>101</v>
      </c>
      <c r="B369" s="330" t="s">
        <v>421</v>
      </c>
      <c r="C369" s="303"/>
      <c r="D369" s="303"/>
      <c r="E369" s="303"/>
      <c r="F369" s="322"/>
      <c r="G369" s="317" t="s">
        <v>196</v>
      </c>
      <c r="H369" s="317" t="s">
        <v>422</v>
      </c>
      <c r="I369" s="303"/>
      <c r="J369" s="303"/>
      <c r="K369" s="303"/>
      <c r="L369" s="322"/>
    </row>
    <row r="370" spans="1:12" ht="12.75">
      <c r="A370" s="311" t="s">
        <v>102</v>
      </c>
      <c r="B370" s="330" t="s">
        <v>161</v>
      </c>
      <c r="C370" s="303"/>
      <c r="D370" s="303"/>
      <c r="E370" s="303"/>
      <c r="F370" s="322"/>
      <c r="G370" s="311" t="s">
        <v>100</v>
      </c>
      <c r="H370" s="330" t="s">
        <v>117</v>
      </c>
      <c r="I370" s="303"/>
      <c r="J370" s="303"/>
      <c r="K370" s="303"/>
      <c r="L370" s="322"/>
    </row>
    <row r="371" spans="1:12" ht="12.75">
      <c r="A371" s="317" t="s">
        <v>423</v>
      </c>
      <c r="B371" s="317" t="s">
        <v>424</v>
      </c>
      <c r="C371" s="303"/>
      <c r="D371" s="303"/>
      <c r="E371" s="303"/>
      <c r="F371" s="322"/>
      <c r="G371" s="311" t="s">
        <v>101</v>
      </c>
      <c r="H371" s="330" t="s">
        <v>97</v>
      </c>
      <c r="I371" s="303"/>
      <c r="J371" s="303"/>
      <c r="K371" s="303"/>
      <c r="L371" s="322"/>
    </row>
    <row r="372" spans="1:12" ht="12.75">
      <c r="A372" s="317" t="s">
        <v>425</v>
      </c>
      <c r="B372" s="317" t="s">
        <v>426</v>
      </c>
      <c r="C372" s="303"/>
      <c r="D372" s="303"/>
      <c r="E372" s="303"/>
      <c r="F372" s="322"/>
      <c r="G372" s="311" t="s">
        <v>102</v>
      </c>
      <c r="H372" s="293" t="s">
        <v>163</v>
      </c>
      <c r="I372" s="303"/>
      <c r="J372" s="303"/>
      <c r="K372" s="303"/>
      <c r="L372" s="322"/>
    </row>
    <row r="373" spans="1:12" ht="12.75">
      <c r="A373" s="317" t="s">
        <v>196</v>
      </c>
      <c r="B373" s="317" t="s">
        <v>427</v>
      </c>
      <c r="C373" s="303">
        <v>0</v>
      </c>
      <c r="D373" s="303">
        <v>0</v>
      </c>
      <c r="E373" s="303">
        <v>0</v>
      </c>
      <c r="F373" s="322"/>
      <c r="G373" s="317" t="s">
        <v>197</v>
      </c>
      <c r="H373" s="317" t="s">
        <v>428</v>
      </c>
      <c r="I373" s="303"/>
      <c r="J373" s="303"/>
      <c r="K373" s="303"/>
      <c r="L373" s="322"/>
    </row>
    <row r="374" spans="1:12" ht="12.75">
      <c r="A374" s="317" t="s">
        <v>197</v>
      </c>
      <c r="B374" s="317" t="s">
        <v>428</v>
      </c>
      <c r="C374" s="303">
        <v>0</v>
      </c>
      <c r="D374" s="303">
        <v>0</v>
      </c>
      <c r="E374" s="303">
        <v>0</v>
      </c>
      <c r="F374" s="322"/>
      <c r="G374" s="317" t="s">
        <v>198</v>
      </c>
      <c r="H374" s="317" t="s">
        <v>396</v>
      </c>
      <c r="I374" s="303"/>
      <c r="J374" s="303"/>
      <c r="K374" s="303"/>
      <c r="L374" s="322"/>
    </row>
    <row r="375" spans="1:12" ht="12.75">
      <c r="A375" s="317" t="s">
        <v>198</v>
      </c>
      <c r="B375" s="317" t="s">
        <v>402</v>
      </c>
      <c r="C375" s="303"/>
      <c r="D375" s="303">
        <v>0</v>
      </c>
      <c r="E375" s="303">
        <v>0</v>
      </c>
      <c r="F375" s="322"/>
      <c r="G375" s="311" t="s">
        <v>100</v>
      </c>
      <c r="H375" s="293" t="s">
        <v>398</v>
      </c>
      <c r="I375" s="303">
        <v>0</v>
      </c>
      <c r="J375" s="303"/>
      <c r="K375" s="303"/>
      <c r="L375" s="322"/>
    </row>
    <row r="376" spans="1:12" ht="12.75">
      <c r="A376" s="311"/>
      <c r="B376" s="301" t="s">
        <v>429</v>
      </c>
      <c r="C376" s="304">
        <f>SUM(C373:C375)</f>
        <v>0</v>
      </c>
      <c r="D376" s="304">
        <f>SUM(D373:D375)</f>
        <v>0</v>
      </c>
      <c r="E376" s="304">
        <f>SUM(E373:E375)</f>
        <v>0</v>
      </c>
      <c r="F376" s="326"/>
      <c r="G376" s="311" t="s">
        <v>441</v>
      </c>
      <c r="H376" s="301" t="s">
        <v>430</v>
      </c>
      <c r="I376" s="304">
        <f>SUM(I373:I375)</f>
        <v>0</v>
      </c>
      <c r="J376" s="304">
        <f>SUM(J373:J375)</f>
        <v>0</v>
      </c>
      <c r="K376" s="304">
        <f>SUM(K373:K375)</f>
        <v>0</v>
      </c>
      <c r="L376" s="326"/>
    </row>
    <row r="377" spans="1:12" ht="12.75">
      <c r="A377" s="311"/>
      <c r="B377" s="327" t="s">
        <v>433</v>
      </c>
      <c r="C377" s="328">
        <f>I376-C376</f>
        <v>0</v>
      </c>
      <c r="D377" s="328">
        <f>J376-D376</f>
        <v>0</v>
      </c>
      <c r="E377" s="328"/>
      <c r="F377" s="331"/>
      <c r="G377" s="311" t="s">
        <v>442</v>
      </c>
      <c r="H377" s="293" t="s">
        <v>434</v>
      </c>
      <c r="I377" s="303"/>
      <c r="J377" s="303"/>
      <c r="K377" s="303">
        <f>E376-K376</f>
        <v>0</v>
      </c>
      <c r="L377" s="322"/>
    </row>
    <row r="378" spans="1:12" ht="13.5">
      <c r="A378" s="311"/>
      <c r="B378" s="332" t="s">
        <v>435</v>
      </c>
      <c r="C378" s="333">
        <f>SUM(C377+C361)</f>
        <v>23877</v>
      </c>
      <c r="D378" s="333">
        <f>SUM(D377+D361)</f>
        <v>17383</v>
      </c>
      <c r="E378" s="333">
        <f>SUM(E377+E361)</f>
        <v>27620</v>
      </c>
      <c r="F378" s="334"/>
      <c r="G378" s="311" t="s">
        <v>443</v>
      </c>
      <c r="H378" s="332" t="s">
        <v>436</v>
      </c>
      <c r="I378" s="303">
        <f>SUM(I361,I377)</f>
        <v>0</v>
      </c>
      <c r="J378" s="303">
        <f>SUM(J361,J377)</f>
        <v>0</v>
      </c>
      <c r="K378" s="320"/>
      <c r="L378" s="322"/>
    </row>
    <row r="379" spans="1:12" ht="12.75">
      <c r="A379" s="311"/>
      <c r="B379" s="301" t="s">
        <v>467</v>
      </c>
      <c r="C379" s="304">
        <f>SUM(C376+C360+C378)</f>
        <v>31294</v>
      </c>
      <c r="D379" s="304">
        <f>SUM(D376+D360+D378)</f>
        <v>26151</v>
      </c>
      <c r="E379" s="304">
        <f>SUM(E376+E360+E378)</f>
        <v>34523</v>
      </c>
      <c r="F379" s="326">
        <f>E379/D379*100</f>
        <v>132.01407211961302</v>
      </c>
      <c r="G379" s="311" t="s">
        <v>445</v>
      </c>
      <c r="H379" s="301" t="s">
        <v>467</v>
      </c>
      <c r="I379" s="304">
        <f>SUM(I362,I376,I378)</f>
        <v>31294</v>
      </c>
      <c r="J379" s="304">
        <f>SUM(J362,J376,J378)</f>
        <v>26151</v>
      </c>
      <c r="K379" s="304">
        <f>SUM(K362,K376,K378)</f>
        <v>34523</v>
      </c>
      <c r="L379" s="326">
        <f>K379/J379*100</f>
        <v>132.01407211961302</v>
      </c>
    </row>
    <row r="380" spans="1:12" ht="12.75">
      <c r="A380" s="564" t="s">
        <v>468</v>
      </c>
      <c r="B380" s="564"/>
      <c r="C380" s="564"/>
      <c r="D380" s="564"/>
      <c r="E380" s="564"/>
      <c r="F380" s="564"/>
      <c r="G380" s="564"/>
      <c r="H380" s="564"/>
      <c r="I380" s="564"/>
      <c r="J380" s="564"/>
      <c r="K380" s="564"/>
      <c r="L380" s="564"/>
    </row>
    <row r="381" spans="1:12" ht="12.75">
      <c r="A381" s="564"/>
      <c r="B381" s="564"/>
      <c r="C381" s="564"/>
      <c r="D381" s="564"/>
      <c r="E381" s="564"/>
      <c r="F381" s="564"/>
      <c r="G381" s="564"/>
      <c r="H381" s="564"/>
      <c r="I381" s="564"/>
      <c r="J381" s="564"/>
      <c r="K381" s="564"/>
      <c r="L381" s="564"/>
    </row>
    <row r="382" spans="1:12" ht="15.75">
      <c r="A382" s="315" t="s">
        <v>447</v>
      </c>
      <c r="C382" s="335" t="s">
        <v>469</v>
      </c>
      <c r="I382" s="565" t="s">
        <v>364</v>
      </c>
      <c r="J382" s="566"/>
      <c r="K382" s="566"/>
      <c r="L382" s="566"/>
    </row>
    <row r="383" spans="1:12" ht="12.75">
      <c r="A383" s="567" t="s">
        <v>365</v>
      </c>
      <c r="B383" s="569" t="s">
        <v>142</v>
      </c>
      <c r="C383" s="571" t="s">
        <v>366</v>
      </c>
      <c r="D383" s="571" t="s">
        <v>367</v>
      </c>
      <c r="E383" s="571" t="s">
        <v>155</v>
      </c>
      <c r="F383" s="559" t="s">
        <v>368</v>
      </c>
      <c r="G383" s="567" t="s">
        <v>365</v>
      </c>
      <c r="H383" s="569" t="s">
        <v>369</v>
      </c>
      <c r="I383" s="571" t="s">
        <v>366</v>
      </c>
      <c r="J383" s="571" t="s">
        <v>367</v>
      </c>
      <c r="K383" s="571" t="s">
        <v>155</v>
      </c>
      <c r="L383" s="559" t="s">
        <v>368</v>
      </c>
    </row>
    <row r="384" spans="1:12" ht="12.75">
      <c r="A384" s="567"/>
      <c r="B384" s="569"/>
      <c r="C384" s="572"/>
      <c r="D384" s="572"/>
      <c r="E384" s="572"/>
      <c r="F384" s="560"/>
      <c r="G384" s="567"/>
      <c r="H384" s="569"/>
      <c r="I384" s="572"/>
      <c r="J384" s="572"/>
      <c r="K384" s="572"/>
      <c r="L384" s="560"/>
    </row>
    <row r="385" spans="1:12" ht="12.75">
      <c r="A385" s="568"/>
      <c r="B385" s="570"/>
      <c r="C385" s="573"/>
      <c r="D385" s="573"/>
      <c r="E385" s="573"/>
      <c r="F385" s="553"/>
      <c r="G385" s="568"/>
      <c r="H385" s="570"/>
      <c r="I385" s="573"/>
      <c r="J385" s="573"/>
      <c r="K385" s="573"/>
      <c r="L385" s="553"/>
    </row>
    <row r="386" spans="1:12" ht="12.75">
      <c r="A386" s="317" t="s">
        <v>88</v>
      </c>
      <c r="B386" s="317" t="s">
        <v>185</v>
      </c>
      <c r="C386" s="318"/>
      <c r="D386" s="318"/>
      <c r="E386" s="318"/>
      <c r="F386" s="317"/>
      <c r="G386" s="317"/>
      <c r="H386" s="317" t="s">
        <v>91</v>
      </c>
      <c r="I386" s="318">
        <f>SUM(I387:I389,I390,I397,I398)</f>
        <v>80332</v>
      </c>
      <c r="J386" s="318">
        <f>SUM(J387:J389,J390,J397,J398)</f>
        <v>71448</v>
      </c>
      <c r="K386" s="318">
        <f>SUM(K387:K389,K390,K397,K398)</f>
        <v>72488</v>
      </c>
      <c r="L386" s="319">
        <f>K386/J386*100</f>
        <v>101.45560407569141</v>
      </c>
    </row>
    <row r="387" spans="1:12" ht="12.75">
      <c r="A387" s="311" t="s">
        <v>100</v>
      </c>
      <c r="B387" s="296" t="s">
        <v>370</v>
      </c>
      <c r="C387" s="320">
        <v>0</v>
      </c>
      <c r="D387" s="320">
        <v>0</v>
      </c>
      <c r="E387" s="320">
        <v>0</v>
      </c>
      <c r="F387" s="321"/>
      <c r="G387" s="317" t="s">
        <v>88</v>
      </c>
      <c r="H387" s="317" t="s">
        <v>92</v>
      </c>
      <c r="I387" s="303">
        <v>22823</v>
      </c>
      <c r="J387" s="303">
        <v>17486</v>
      </c>
      <c r="K387" s="303">
        <f>17226-1235</f>
        <v>15991</v>
      </c>
      <c r="L387" s="322">
        <f>K387/J387*100</f>
        <v>91.45030309962256</v>
      </c>
    </row>
    <row r="388" spans="1:12" ht="12.75">
      <c r="A388" s="311" t="s">
        <v>101</v>
      </c>
      <c r="B388" s="296" t="s">
        <v>371</v>
      </c>
      <c r="C388" s="320">
        <v>0</v>
      </c>
      <c r="D388" s="320">
        <v>0</v>
      </c>
      <c r="E388" s="320">
        <v>0</v>
      </c>
      <c r="F388" s="321"/>
      <c r="G388" s="317" t="s">
        <v>372</v>
      </c>
      <c r="H388" s="317" t="s">
        <v>93</v>
      </c>
      <c r="I388" s="303">
        <v>6909</v>
      </c>
      <c r="J388" s="303">
        <v>5638</v>
      </c>
      <c r="K388" s="303">
        <v>5265</v>
      </c>
      <c r="L388" s="322">
        <f>K388/J388*100</f>
        <v>93.38417878680383</v>
      </c>
    </row>
    <row r="389" spans="1:12" ht="12.75">
      <c r="A389" s="323" t="s">
        <v>373</v>
      </c>
      <c r="B389" s="293" t="s">
        <v>374</v>
      </c>
      <c r="C389" s="303">
        <v>0</v>
      </c>
      <c r="D389" s="303">
        <v>0</v>
      </c>
      <c r="E389" s="303">
        <v>0</v>
      </c>
      <c r="F389" s="322"/>
      <c r="G389" s="317" t="s">
        <v>194</v>
      </c>
      <c r="H389" s="317" t="s">
        <v>269</v>
      </c>
      <c r="I389" s="303">
        <v>50600</v>
      </c>
      <c r="J389" s="303">
        <v>48324</v>
      </c>
      <c r="K389" s="303">
        <v>51232</v>
      </c>
      <c r="L389" s="322">
        <f>K389/J389*100</f>
        <v>106.01771376541677</v>
      </c>
    </row>
    <row r="390" spans="1:12" ht="12.75">
      <c r="A390" s="323" t="s">
        <v>375</v>
      </c>
      <c r="B390" s="293" t="s">
        <v>376</v>
      </c>
      <c r="C390" s="303"/>
      <c r="D390" s="303"/>
      <c r="E390" s="303"/>
      <c r="F390" s="322"/>
      <c r="G390" s="317" t="s">
        <v>195</v>
      </c>
      <c r="H390" s="317" t="s">
        <v>377</v>
      </c>
      <c r="I390" s="303"/>
      <c r="J390" s="303"/>
      <c r="K390" s="303"/>
      <c r="L390" s="322"/>
    </row>
    <row r="391" spans="1:12" ht="12.75">
      <c r="A391" s="323" t="s">
        <v>378</v>
      </c>
      <c r="B391" s="293" t="s">
        <v>379</v>
      </c>
      <c r="C391" s="303"/>
      <c r="D391" s="303"/>
      <c r="E391" s="303"/>
      <c r="F391" s="322"/>
      <c r="G391" s="311" t="s">
        <v>100</v>
      </c>
      <c r="H391" s="293" t="s">
        <v>96</v>
      </c>
      <c r="I391" s="303"/>
      <c r="J391" s="303"/>
      <c r="K391" s="303"/>
      <c r="L391" s="322"/>
    </row>
    <row r="392" spans="1:12" ht="12.75">
      <c r="A392" s="324" t="s">
        <v>192</v>
      </c>
      <c r="B392" s="317" t="s">
        <v>186</v>
      </c>
      <c r="C392" s="303"/>
      <c r="D392" s="303"/>
      <c r="E392" s="303"/>
      <c r="F392" s="322"/>
      <c r="G392" s="311" t="s">
        <v>101</v>
      </c>
      <c r="H392" s="293" t="s">
        <v>380</v>
      </c>
      <c r="I392" s="303"/>
      <c r="J392" s="303"/>
      <c r="K392" s="303"/>
      <c r="L392" s="322"/>
    </row>
    <row r="393" spans="1:12" ht="12.75">
      <c r="A393" s="311" t="s">
        <v>100</v>
      </c>
      <c r="B393" s="296" t="s">
        <v>381</v>
      </c>
      <c r="C393" s="320">
        <v>0</v>
      </c>
      <c r="D393" s="320">
        <v>0</v>
      </c>
      <c r="E393" s="320">
        <v>0</v>
      </c>
      <c r="F393" s="321"/>
      <c r="G393" s="311" t="s">
        <v>102</v>
      </c>
      <c r="H393" s="293" t="s">
        <v>382</v>
      </c>
      <c r="I393" s="303">
        <v>0</v>
      </c>
      <c r="J393" s="303">
        <v>0</v>
      </c>
      <c r="K393" s="303">
        <v>0</v>
      </c>
      <c r="L393" s="322"/>
    </row>
    <row r="394" spans="1:12" ht="12.75">
      <c r="A394" s="311" t="s">
        <v>383</v>
      </c>
      <c r="B394" s="293" t="s">
        <v>384</v>
      </c>
      <c r="C394" s="303">
        <v>0</v>
      </c>
      <c r="D394" s="303">
        <v>0</v>
      </c>
      <c r="E394" s="303">
        <v>0</v>
      </c>
      <c r="F394" s="322"/>
      <c r="G394" s="311" t="s">
        <v>103</v>
      </c>
      <c r="H394" s="293" t="s">
        <v>385</v>
      </c>
      <c r="I394" s="303">
        <v>0</v>
      </c>
      <c r="J394" s="303">
        <v>0</v>
      </c>
      <c r="K394" s="303">
        <v>0</v>
      </c>
      <c r="L394" s="322"/>
    </row>
    <row r="395" spans="1:12" ht="12.75">
      <c r="A395" s="311" t="s">
        <v>386</v>
      </c>
      <c r="B395" s="293" t="s">
        <v>387</v>
      </c>
      <c r="C395" s="303">
        <v>0</v>
      </c>
      <c r="D395" s="303">
        <v>0</v>
      </c>
      <c r="E395" s="303">
        <v>0</v>
      </c>
      <c r="F395" s="322"/>
      <c r="G395" s="311" t="s">
        <v>104</v>
      </c>
      <c r="H395" s="293" t="s">
        <v>388</v>
      </c>
      <c r="I395" s="303">
        <v>0</v>
      </c>
      <c r="J395" s="303">
        <v>0</v>
      </c>
      <c r="K395" s="303">
        <v>0</v>
      </c>
      <c r="L395" s="322"/>
    </row>
    <row r="396" spans="1:12" ht="12.75">
      <c r="A396" s="311" t="s">
        <v>389</v>
      </c>
      <c r="B396" s="293" t="s">
        <v>390</v>
      </c>
      <c r="C396" s="303">
        <v>0</v>
      </c>
      <c r="D396" s="303">
        <v>0</v>
      </c>
      <c r="E396" s="303">
        <v>0</v>
      </c>
      <c r="F396" s="322"/>
      <c r="G396" s="311"/>
      <c r="H396" s="293"/>
      <c r="I396" s="303"/>
      <c r="J396" s="303"/>
      <c r="K396" s="303"/>
      <c r="L396" s="322"/>
    </row>
    <row r="397" spans="1:12" ht="12.75">
      <c r="A397" s="317" t="s">
        <v>391</v>
      </c>
      <c r="B397" s="317" t="s">
        <v>392</v>
      </c>
      <c r="C397" s="303"/>
      <c r="D397" s="303"/>
      <c r="E397" s="303"/>
      <c r="F397" s="322"/>
      <c r="G397" s="317" t="s">
        <v>197</v>
      </c>
      <c r="H397" s="317" t="s">
        <v>393</v>
      </c>
      <c r="I397" s="303"/>
      <c r="J397" s="303"/>
      <c r="K397" s="303"/>
      <c r="L397" s="322"/>
    </row>
    <row r="398" spans="1:12" ht="12.75">
      <c r="A398" s="317" t="s">
        <v>394</v>
      </c>
      <c r="B398" s="317" t="s">
        <v>395</v>
      </c>
      <c r="C398" s="303"/>
      <c r="D398" s="303"/>
      <c r="E398" s="303"/>
      <c r="F398" s="322"/>
      <c r="G398" s="317" t="s">
        <v>198</v>
      </c>
      <c r="H398" s="317" t="s">
        <v>396</v>
      </c>
      <c r="I398" s="303"/>
      <c r="J398" s="303"/>
      <c r="K398" s="303"/>
      <c r="L398" s="322"/>
    </row>
    <row r="399" spans="1:12" ht="12.75">
      <c r="A399" s="311"/>
      <c r="B399" s="293" t="s">
        <v>397</v>
      </c>
      <c r="C399" s="303"/>
      <c r="D399" s="303"/>
      <c r="E399" s="303"/>
      <c r="F399" s="322"/>
      <c r="G399" s="311" t="s">
        <v>100</v>
      </c>
      <c r="H399" s="293" t="s">
        <v>398</v>
      </c>
      <c r="I399" s="303"/>
      <c r="J399" s="303"/>
      <c r="K399" s="303"/>
      <c r="L399" s="322"/>
    </row>
    <row r="400" spans="1:12" ht="12.75">
      <c r="A400" s="317" t="s">
        <v>399</v>
      </c>
      <c r="B400" s="317" t="s">
        <v>400</v>
      </c>
      <c r="C400" s="320">
        <v>0</v>
      </c>
      <c r="D400" s="320">
        <v>0</v>
      </c>
      <c r="E400" s="320">
        <v>0</v>
      </c>
      <c r="F400" s="321"/>
      <c r="G400" s="311" t="s">
        <v>101</v>
      </c>
      <c r="H400" s="293" t="s">
        <v>401</v>
      </c>
      <c r="I400" s="303"/>
      <c r="J400" s="303"/>
      <c r="K400" s="303"/>
      <c r="L400" s="322"/>
    </row>
    <row r="401" spans="1:12" ht="12.75">
      <c r="A401" s="317" t="s">
        <v>198</v>
      </c>
      <c r="B401" s="317" t="s">
        <v>402</v>
      </c>
      <c r="C401" s="303">
        <v>0</v>
      </c>
      <c r="D401" s="303">
        <v>0</v>
      </c>
      <c r="E401" s="303">
        <v>0</v>
      </c>
      <c r="F401" s="322"/>
      <c r="G401" s="311"/>
      <c r="H401" s="293"/>
      <c r="I401" s="303"/>
      <c r="J401" s="303"/>
      <c r="K401" s="303"/>
      <c r="L401" s="322"/>
    </row>
    <row r="402" spans="1:12" ht="12.75">
      <c r="A402" s="311"/>
      <c r="B402" s="301" t="s">
        <v>403</v>
      </c>
      <c r="C402" s="304">
        <f>SUM(C387+C388+C393+C397+C398+C400+C401)</f>
        <v>0</v>
      </c>
      <c r="D402" s="304">
        <f>SUM(D387+D388+D393+D397+D398+D400+D401)</f>
        <v>0</v>
      </c>
      <c r="E402" s="304">
        <f>SUM(E387+E388+E393+E397+E398+E400+E401)</f>
        <v>0</v>
      </c>
      <c r="F402" s="325"/>
      <c r="G402" s="311"/>
      <c r="H402" s="301" t="s">
        <v>404</v>
      </c>
      <c r="I402" s="304">
        <f>SUM(I387:I389)</f>
        <v>80332</v>
      </c>
      <c r="J402" s="304">
        <f>SUM(J387:J389)</f>
        <v>71448</v>
      </c>
      <c r="K402" s="304">
        <f>SUM(K387:K389)</f>
        <v>72488</v>
      </c>
      <c r="L402" s="326">
        <f>K402/J402*100</f>
        <v>101.45560407569141</v>
      </c>
    </row>
    <row r="403" spans="1:12" ht="12.75">
      <c r="A403" s="311"/>
      <c r="B403" s="327" t="s">
        <v>405</v>
      </c>
      <c r="C403" s="328"/>
      <c r="D403" s="328"/>
      <c r="E403" s="328"/>
      <c r="F403" s="329"/>
      <c r="G403" s="311"/>
      <c r="H403" s="293" t="s">
        <v>406</v>
      </c>
      <c r="I403" s="328">
        <v>-80332</v>
      </c>
      <c r="J403" s="328">
        <v>-71448</v>
      </c>
      <c r="K403" s="328">
        <f>E402-K402</f>
        <v>-72488</v>
      </c>
      <c r="L403" s="322"/>
    </row>
    <row r="404" spans="1:12" ht="12.75">
      <c r="A404" s="311"/>
      <c r="B404" s="317" t="s">
        <v>407</v>
      </c>
      <c r="C404" s="303"/>
      <c r="D404" s="303"/>
      <c r="E404" s="303"/>
      <c r="F404" s="322"/>
      <c r="G404" s="311"/>
      <c r="H404" s="301" t="s">
        <v>408</v>
      </c>
      <c r="I404" s="304">
        <f>SUM(I402:I403)</f>
        <v>0</v>
      </c>
      <c r="J404" s="304">
        <f>SUM(J402:J403)</f>
        <v>0</v>
      </c>
      <c r="K404" s="304">
        <f>SUM(K402:K403)</f>
        <v>0</v>
      </c>
      <c r="L404" s="326"/>
    </row>
    <row r="405" spans="1:12" ht="12.75">
      <c r="A405" s="317" t="s">
        <v>409</v>
      </c>
      <c r="B405" s="317" t="s">
        <v>410</v>
      </c>
      <c r="C405" s="303"/>
      <c r="D405" s="303"/>
      <c r="E405" s="303"/>
      <c r="F405" s="322"/>
      <c r="G405" s="311"/>
      <c r="H405" s="327" t="s">
        <v>411</v>
      </c>
      <c r="I405" s="303"/>
      <c r="J405" s="303"/>
      <c r="K405" s="303"/>
      <c r="L405" s="322"/>
    </row>
    <row r="406" spans="1:12" ht="12.75">
      <c r="A406" s="317" t="s">
        <v>412</v>
      </c>
      <c r="B406" s="317" t="s">
        <v>413</v>
      </c>
      <c r="C406" s="303"/>
      <c r="D406" s="303"/>
      <c r="E406" s="303"/>
      <c r="F406" s="322"/>
      <c r="G406" s="311"/>
      <c r="H406" s="317" t="s">
        <v>94</v>
      </c>
      <c r="I406" s="303"/>
      <c r="J406" s="303"/>
      <c r="K406" s="303"/>
      <c r="L406" s="322"/>
    </row>
    <row r="407" spans="1:12" ht="12.75">
      <c r="A407" s="317" t="s">
        <v>414</v>
      </c>
      <c r="B407" s="317" t="s">
        <v>415</v>
      </c>
      <c r="C407" s="303"/>
      <c r="D407" s="303"/>
      <c r="E407" s="303"/>
      <c r="F407" s="322"/>
      <c r="G407" s="317" t="s">
        <v>194</v>
      </c>
      <c r="H407" s="317" t="s">
        <v>416</v>
      </c>
      <c r="I407" s="303"/>
      <c r="J407" s="303"/>
      <c r="K407" s="303"/>
      <c r="L407" s="322"/>
    </row>
    <row r="408" spans="1:12" ht="12.75">
      <c r="A408" s="317" t="s">
        <v>417</v>
      </c>
      <c r="B408" s="317" t="s">
        <v>193</v>
      </c>
      <c r="C408" s="303"/>
      <c r="D408" s="303"/>
      <c r="E408" s="303"/>
      <c r="F408" s="322"/>
      <c r="G408" s="317" t="s">
        <v>195</v>
      </c>
      <c r="H408" s="317" t="s">
        <v>377</v>
      </c>
      <c r="I408" s="303"/>
      <c r="J408" s="303"/>
      <c r="K408" s="303"/>
      <c r="L408" s="322"/>
    </row>
    <row r="409" spans="1:12" ht="12.75">
      <c r="A409" s="317" t="s">
        <v>194</v>
      </c>
      <c r="B409" s="317" t="s">
        <v>418</v>
      </c>
      <c r="C409" s="303"/>
      <c r="D409" s="303"/>
      <c r="E409" s="303"/>
      <c r="F409" s="322"/>
      <c r="G409" s="311" t="s">
        <v>100</v>
      </c>
      <c r="H409" s="293" t="s">
        <v>96</v>
      </c>
      <c r="I409" s="303"/>
      <c r="J409" s="303"/>
      <c r="K409" s="303"/>
      <c r="L409" s="322"/>
    </row>
    <row r="410" spans="1:12" ht="12.75">
      <c r="A410" s="311" t="s">
        <v>100</v>
      </c>
      <c r="B410" s="330" t="s">
        <v>419</v>
      </c>
      <c r="C410" s="303"/>
      <c r="D410" s="303"/>
      <c r="E410" s="303"/>
      <c r="F410" s="322"/>
      <c r="G410" s="311" t="s">
        <v>101</v>
      </c>
      <c r="H410" s="293" t="s">
        <v>420</v>
      </c>
      <c r="I410" s="303"/>
      <c r="J410" s="303"/>
      <c r="K410" s="303"/>
      <c r="L410" s="322"/>
    </row>
    <row r="411" spans="1:12" ht="12.75">
      <c r="A411" s="311" t="s">
        <v>101</v>
      </c>
      <c r="B411" s="330" t="s">
        <v>421</v>
      </c>
      <c r="C411" s="303"/>
      <c r="D411" s="303"/>
      <c r="E411" s="303"/>
      <c r="F411" s="322"/>
      <c r="G411" s="317" t="s">
        <v>196</v>
      </c>
      <c r="H411" s="317" t="s">
        <v>422</v>
      </c>
      <c r="I411" s="303"/>
      <c r="J411" s="303"/>
      <c r="K411" s="303"/>
      <c r="L411" s="322"/>
    </row>
    <row r="412" spans="1:12" ht="12.75">
      <c r="A412" s="311" t="s">
        <v>102</v>
      </c>
      <c r="B412" s="330" t="s">
        <v>161</v>
      </c>
      <c r="C412" s="303"/>
      <c r="D412" s="303"/>
      <c r="E412" s="303"/>
      <c r="F412" s="322"/>
      <c r="G412" s="311" t="s">
        <v>100</v>
      </c>
      <c r="H412" s="330" t="s">
        <v>117</v>
      </c>
      <c r="I412" s="303"/>
      <c r="J412" s="303"/>
      <c r="K412" s="303"/>
      <c r="L412" s="322"/>
    </row>
    <row r="413" spans="1:12" ht="12.75">
      <c r="A413" s="317" t="s">
        <v>423</v>
      </c>
      <c r="B413" s="317" t="s">
        <v>424</v>
      </c>
      <c r="C413" s="303"/>
      <c r="D413" s="303"/>
      <c r="E413" s="303"/>
      <c r="F413" s="322"/>
      <c r="G413" s="311" t="s">
        <v>101</v>
      </c>
      <c r="H413" s="330" t="s">
        <v>97</v>
      </c>
      <c r="I413" s="303"/>
      <c r="J413" s="303"/>
      <c r="K413" s="303"/>
      <c r="L413" s="322"/>
    </row>
    <row r="414" spans="1:12" ht="12.75">
      <c r="A414" s="317" t="s">
        <v>425</v>
      </c>
      <c r="B414" s="317" t="s">
        <v>426</v>
      </c>
      <c r="C414" s="303"/>
      <c r="D414" s="303"/>
      <c r="E414" s="303"/>
      <c r="F414" s="322"/>
      <c r="G414" s="311" t="s">
        <v>102</v>
      </c>
      <c r="H414" s="293" t="s">
        <v>163</v>
      </c>
      <c r="I414" s="303"/>
      <c r="J414" s="303"/>
      <c r="K414" s="303"/>
      <c r="L414" s="322"/>
    </row>
    <row r="415" spans="1:12" ht="12.75">
      <c r="A415" s="317" t="s">
        <v>196</v>
      </c>
      <c r="B415" s="317" t="s">
        <v>427</v>
      </c>
      <c r="C415" s="303">
        <v>0</v>
      </c>
      <c r="D415" s="303">
        <v>0</v>
      </c>
      <c r="E415" s="303">
        <v>0</v>
      </c>
      <c r="F415" s="322"/>
      <c r="G415" s="317" t="s">
        <v>197</v>
      </c>
      <c r="H415" s="317" t="s">
        <v>428</v>
      </c>
      <c r="I415" s="303"/>
      <c r="J415" s="303"/>
      <c r="K415" s="303"/>
      <c r="L415" s="322"/>
    </row>
    <row r="416" spans="1:12" ht="12.75">
      <c r="A416" s="317" t="s">
        <v>197</v>
      </c>
      <c r="B416" s="317" t="s">
        <v>428</v>
      </c>
      <c r="C416" s="303">
        <v>0</v>
      </c>
      <c r="D416" s="303">
        <v>0</v>
      </c>
      <c r="E416" s="303">
        <v>0</v>
      </c>
      <c r="F416" s="322"/>
      <c r="G416" s="317" t="s">
        <v>198</v>
      </c>
      <c r="H416" s="317" t="s">
        <v>396</v>
      </c>
      <c r="I416" s="303"/>
      <c r="J416" s="303"/>
      <c r="K416" s="303"/>
      <c r="L416" s="322"/>
    </row>
    <row r="417" spans="1:12" ht="12.75">
      <c r="A417" s="317" t="s">
        <v>198</v>
      </c>
      <c r="B417" s="317" t="s">
        <v>402</v>
      </c>
      <c r="C417" s="303"/>
      <c r="D417" s="303">
        <v>0</v>
      </c>
      <c r="E417" s="303">
        <v>0</v>
      </c>
      <c r="F417" s="322"/>
      <c r="G417" s="311" t="s">
        <v>100</v>
      </c>
      <c r="H417" s="293" t="s">
        <v>398</v>
      </c>
      <c r="I417" s="303"/>
      <c r="J417" s="303"/>
      <c r="K417" s="303"/>
      <c r="L417" s="322"/>
    </row>
    <row r="418" spans="1:12" ht="12.75">
      <c r="A418" s="311"/>
      <c r="B418" s="301" t="s">
        <v>429</v>
      </c>
      <c r="C418" s="304">
        <f>SUM(C415:C417)</f>
        <v>0</v>
      </c>
      <c r="D418" s="304">
        <f>SUM(D415:D417)</f>
        <v>0</v>
      </c>
      <c r="E418" s="304">
        <f>SUM(E415:E417)</f>
        <v>0</v>
      </c>
      <c r="F418" s="326"/>
      <c r="G418" s="311" t="s">
        <v>441</v>
      </c>
      <c r="H418" s="301" t="s">
        <v>430</v>
      </c>
      <c r="I418" s="304">
        <f>SUM(I415:I417)</f>
        <v>0</v>
      </c>
      <c r="J418" s="304">
        <f>SUM(J415:J417)</f>
        <v>0</v>
      </c>
      <c r="K418" s="304">
        <f>SUM(K415:K417)</f>
        <v>0</v>
      </c>
      <c r="L418" s="326"/>
    </row>
    <row r="419" spans="1:12" ht="12.75">
      <c r="A419" s="311"/>
      <c r="B419" s="327" t="s">
        <v>433</v>
      </c>
      <c r="C419" s="328">
        <f>I418-C418</f>
        <v>0</v>
      </c>
      <c r="D419" s="328">
        <f>J418-D418</f>
        <v>0</v>
      </c>
      <c r="E419" s="328"/>
      <c r="F419" s="331"/>
      <c r="G419" s="311" t="s">
        <v>442</v>
      </c>
      <c r="H419" s="293" t="s">
        <v>434</v>
      </c>
      <c r="I419" s="303"/>
      <c r="J419" s="303"/>
      <c r="K419" s="303">
        <f>E418-K418</f>
        <v>0</v>
      </c>
      <c r="L419" s="322"/>
    </row>
    <row r="420" spans="1:12" ht="13.5">
      <c r="A420" s="311"/>
      <c r="B420" s="332" t="s">
        <v>435</v>
      </c>
      <c r="C420" s="333"/>
      <c r="D420" s="333"/>
      <c r="E420" s="333">
        <f>SUM(E419+E403)</f>
        <v>0</v>
      </c>
      <c r="F420" s="334"/>
      <c r="G420" s="311" t="s">
        <v>443</v>
      </c>
      <c r="H420" s="332" t="s">
        <v>436</v>
      </c>
      <c r="I420" s="303"/>
      <c r="J420" s="303"/>
      <c r="K420" s="320"/>
      <c r="L420" s="322"/>
    </row>
    <row r="421" spans="1:12" ht="12.75">
      <c r="A421" s="311"/>
      <c r="B421" s="301" t="s">
        <v>470</v>
      </c>
      <c r="C421" s="304">
        <f>SUM(C418+C402+C420)</f>
        <v>0</v>
      </c>
      <c r="D421" s="304">
        <f>SUM(D418+D402+D420)</f>
        <v>0</v>
      </c>
      <c r="E421" s="304">
        <f>SUM(E418+E402+E420)</f>
        <v>0</v>
      </c>
      <c r="F421" s="326"/>
      <c r="G421" s="311" t="s">
        <v>445</v>
      </c>
      <c r="H421" s="301" t="s">
        <v>470</v>
      </c>
      <c r="I421" s="304">
        <f>SUM(I404,I418,I420)</f>
        <v>0</v>
      </c>
      <c r="J421" s="304">
        <f>SUM(J404,J418,J420)</f>
        <v>0</v>
      </c>
      <c r="K421" s="304">
        <f>SUM(K404,K418,K420)</f>
        <v>0</v>
      </c>
      <c r="L421" s="326"/>
    </row>
  </sheetData>
  <mergeCells count="140">
    <mergeCell ref="A1:L2"/>
    <mergeCell ref="I3:L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A44:L45"/>
    <mergeCell ref="I46:L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K47:K49"/>
    <mergeCell ref="L47:L49"/>
    <mergeCell ref="A86:L87"/>
    <mergeCell ref="I88:L88"/>
    <mergeCell ref="A89:A91"/>
    <mergeCell ref="B89:B91"/>
    <mergeCell ref="C89:C91"/>
    <mergeCell ref="D89:D91"/>
    <mergeCell ref="E89:E91"/>
    <mergeCell ref="F89:F91"/>
    <mergeCell ref="G89:G91"/>
    <mergeCell ref="H89:H91"/>
    <mergeCell ref="I89:I91"/>
    <mergeCell ref="J89:J91"/>
    <mergeCell ref="K89:K91"/>
    <mergeCell ref="L89:L91"/>
    <mergeCell ref="A128:L129"/>
    <mergeCell ref="I130:L130"/>
    <mergeCell ref="A131:A133"/>
    <mergeCell ref="B131:B133"/>
    <mergeCell ref="C131:C133"/>
    <mergeCell ref="D131:D133"/>
    <mergeCell ref="E131:E133"/>
    <mergeCell ref="F131:F133"/>
    <mergeCell ref="G131:G133"/>
    <mergeCell ref="H131:H133"/>
    <mergeCell ref="I131:I133"/>
    <mergeCell ref="J131:J133"/>
    <mergeCell ref="K131:K133"/>
    <mergeCell ref="L131:L133"/>
    <mergeCell ref="A170:L171"/>
    <mergeCell ref="I172:L172"/>
    <mergeCell ref="A173:A175"/>
    <mergeCell ref="B173:B175"/>
    <mergeCell ref="C173:C175"/>
    <mergeCell ref="D173:D175"/>
    <mergeCell ref="E173:E175"/>
    <mergeCell ref="F173:F175"/>
    <mergeCell ref="G173:G175"/>
    <mergeCell ref="H173:H175"/>
    <mergeCell ref="I173:I175"/>
    <mergeCell ref="J173:J175"/>
    <mergeCell ref="K173:K175"/>
    <mergeCell ref="L173:L175"/>
    <mergeCell ref="A212:L213"/>
    <mergeCell ref="I214:L214"/>
    <mergeCell ref="A215:A217"/>
    <mergeCell ref="B215:B217"/>
    <mergeCell ref="C215:C217"/>
    <mergeCell ref="D215:D217"/>
    <mergeCell ref="E215:E217"/>
    <mergeCell ref="F215:F217"/>
    <mergeCell ref="G215:G217"/>
    <mergeCell ref="H215:H217"/>
    <mergeCell ref="I215:I217"/>
    <mergeCell ref="J215:J217"/>
    <mergeCell ref="K215:K217"/>
    <mergeCell ref="L215:L217"/>
    <mergeCell ref="A254:L255"/>
    <mergeCell ref="I256:L256"/>
    <mergeCell ref="A257:A259"/>
    <mergeCell ref="B257:B259"/>
    <mergeCell ref="C257:C259"/>
    <mergeCell ref="D257:D259"/>
    <mergeCell ref="E257:E259"/>
    <mergeCell ref="F257:F259"/>
    <mergeCell ref="G257:G259"/>
    <mergeCell ref="H257:H259"/>
    <mergeCell ref="I257:I259"/>
    <mergeCell ref="J257:J259"/>
    <mergeCell ref="K257:K259"/>
    <mergeCell ref="L257:L259"/>
    <mergeCell ref="A296:L297"/>
    <mergeCell ref="I298:L298"/>
    <mergeCell ref="A299:A301"/>
    <mergeCell ref="B299:B301"/>
    <mergeCell ref="C299:C301"/>
    <mergeCell ref="D299:D301"/>
    <mergeCell ref="E299:E301"/>
    <mergeCell ref="F299:F301"/>
    <mergeCell ref="G299:G301"/>
    <mergeCell ref="H299:H301"/>
    <mergeCell ref="I299:I301"/>
    <mergeCell ref="J299:J301"/>
    <mergeCell ref="K299:K301"/>
    <mergeCell ref="L299:L301"/>
    <mergeCell ref="A338:L339"/>
    <mergeCell ref="I340:L340"/>
    <mergeCell ref="A341:A343"/>
    <mergeCell ref="B341:B343"/>
    <mergeCell ref="C341:C343"/>
    <mergeCell ref="D341:D343"/>
    <mergeCell ref="E341:E343"/>
    <mergeCell ref="F341:F343"/>
    <mergeCell ref="G341:G343"/>
    <mergeCell ref="H341:H343"/>
    <mergeCell ref="I341:I343"/>
    <mergeCell ref="J341:J343"/>
    <mergeCell ref="K341:K343"/>
    <mergeCell ref="L341:L343"/>
    <mergeCell ref="A380:L381"/>
    <mergeCell ref="I382:L382"/>
    <mergeCell ref="A383:A385"/>
    <mergeCell ref="B383:B385"/>
    <mergeCell ref="C383:C385"/>
    <mergeCell ref="D383:D385"/>
    <mergeCell ref="E383:E385"/>
    <mergeCell ref="F383:F385"/>
    <mergeCell ref="G383:G385"/>
    <mergeCell ref="H383:H385"/>
    <mergeCell ref="I383:I385"/>
    <mergeCell ref="J383:J385"/>
    <mergeCell ref="K383:K385"/>
    <mergeCell ref="L383:L385"/>
  </mergeCells>
  <printOptions/>
  <pageMargins left="0.75" right="0.75" top="1" bottom="1" header="0.5" footer="0.5"/>
  <pageSetup horizontalDpi="600" verticalDpi="600" orientation="landscape" paperSize="9" scale="84" r:id="rId1"/>
  <headerFooter alignWithMargins="0">
    <oddFooter>&amp;C&amp;P. oldal</oddFooter>
  </headerFooter>
  <rowBreaks count="9" manualBreakCount="9">
    <brk id="43" max="255" man="1"/>
    <brk id="85" max="255" man="1"/>
    <brk id="127" max="255" man="1"/>
    <brk id="169" max="255" man="1"/>
    <brk id="211" max="255" man="1"/>
    <brk id="253" max="255" man="1"/>
    <brk id="295" max="255" man="1"/>
    <brk id="337" max="255" man="1"/>
    <brk id="37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Y49"/>
  <sheetViews>
    <sheetView tabSelected="1" workbookViewId="0" topLeftCell="A21">
      <selection activeCell="B31" sqref="B31"/>
    </sheetView>
  </sheetViews>
  <sheetFormatPr defaultColWidth="9.140625" defaultRowHeight="12.75"/>
  <cols>
    <col min="1" max="1" width="4.00390625" style="529" customWidth="1"/>
    <col min="2" max="2" width="44.00390625" style="530" customWidth="1"/>
    <col min="3" max="3" width="9.421875" style="531" customWidth="1"/>
    <col min="4" max="4" width="13.7109375" style="531" customWidth="1"/>
    <col min="5" max="5" width="8.28125" style="531" customWidth="1"/>
    <col min="6" max="11" width="17.28125" style="531" customWidth="1"/>
    <col min="12" max="15" width="11.28125" style="531" customWidth="1"/>
    <col min="16" max="25" width="9.140625" style="458" customWidth="1"/>
  </cols>
  <sheetData>
    <row r="3" spans="1:15" ht="15.75">
      <c r="A3" s="454"/>
      <c r="B3" s="455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7"/>
      <c r="N3" s="456"/>
      <c r="O3" s="457"/>
    </row>
    <row r="4" spans="1:15" ht="18.75">
      <c r="A4" s="557" t="s">
        <v>236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</row>
    <row r="5" spans="1:15" ht="16.5" thickBot="1">
      <c r="A5" s="459"/>
      <c r="B5" s="460"/>
      <c r="C5" s="456"/>
      <c r="D5" s="456"/>
      <c r="E5" s="456"/>
      <c r="F5" s="461"/>
      <c r="G5" s="461"/>
      <c r="H5" s="461"/>
      <c r="I5" s="461"/>
      <c r="J5" s="461"/>
      <c r="K5" s="456"/>
      <c r="L5" s="456"/>
      <c r="M5" s="457"/>
      <c r="N5" s="456"/>
      <c r="O5" s="462" t="s">
        <v>99</v>
      </c>
    </row>
    <row r="6" spans="1:15" ht="15.75">
      <c r="A6" s="463" t="s">
        <v>108</v>
      </c>
      <c r="B6" s="464" t="s">
        <v>109</v>
      </c>
      <c r="C6" s="465"/>
      <c r="D6" s="558" t="s">
        <v>110</v>
      </c>
      <c r="E6" s="576"/>
      <c r="F6" s="466" t="s">
        <v>111</v>
      </c>
      <c r="G6" s="467"/>
      <c r="H6" s="466" t="s">
        <v>112</v>
      </c>
      <c r="I6" s="468"/>
      <c r="J6" s="558" t="s">
        <v>113</v>
      </c>
      <c r="K6" s="577"/>
      <c r="L6" s="469" t="s">
        <v>114</v>
      </c>
      <c r="M6" s="470"/>
      <c r="N6" s="469" t="s">
        <v>115</v>
      </c>
      <c r="O6" s="471"/>
    </row>
    <row r="7" spans="1:15" ht="16.5" thickBot="1">
      <c r="A7" s="472" t="s">
        <v>116</v>
      </c>
      <c r="B7" s="473"/>
      <c r="C7" s="474" t="s">
        <v>204</v>
      </c>
      <c r="D7" s="474" t="s">
        <v>97</v>
      </c>
      <c r="E7" s="475" t="s">
        <v>117</v>
      </c>
      <c r="F7" s="475" t="s">
        <v>118</v>
      </c>
      <c r="G7" s="475" t="s">
        <v>119</v>
      </c>
      <c r="H7" s="474" t="s">
        <v>118</v>
      </c>
      <c r="I7" s="475" t="s">
        <v>119</v>
      </c>
      <c r="J7" s="476" t="s">
        <v>241</v>
      </c>
      <c r="K7" s="475" t="s">
        <v>119</v>
      </c>
      <c r="L7" s="476" t="s">
        <v>118</v>
      </c>
      <c r="M7" s="477" t="s">
        <v>119</v>
      </c>
      <c r="N7" s="476" t="s">
        <v>118</v>
      </c>
      <c r="O7" s="478" t="s">
        <v>119</v>
      </c>
    </row>
    <row r="8" spans="1:15" ht="16.5" thickBot="1">
      <c r="A8" s="479"/>
      <c r="B8" s="473" t="s">
        <v>209</v>
      </c>
      <c r="C8" s="480" t="s">
        <v>206</v>
      </c>
      <c r="D8" s="480"/>
      <c r="E8" s="481"/>
      <c r="F8" s="481" t="s">
        <v>120</v>
      </c>
      <c r="G8" s="481"/>
      <c r="H8" s="481" t="s">
        <v>120</v>
      </c>
      <c r="I8" s="481"/>
      <c r="J8" s="481" t="s">
        <v>242</v>
      </c>
      <c r="K8" s="481"/>
      <c r="L8" s="481" t="s">
        <v>120</v>
      </c>
      <c r="M8" s="480"/>
      <c r="N8" s="481" t="s">
        <v>120</v>
      </c>
      <c r="O8" s="482"/>
    </row>
    <row r="9" spans="1:15" ht="15.75">
      <c r="A9" s="483"/>
      <c r="B9" s="484" t="s">
        <v>126</v>
      </c>
      <c r="C9" s="485"/>
      <c r="D9" s="486"/>
      <c r="E9" s="486"/>
      <c r="F9" s="486"/>
      <c r="G9" s="487"/>
      <c r="H9" s="486"/>
      <c r="I9" s="486"/>
      <c r="J9" s="488"/>
      <c r="K9" s="488"/>
      <c r="L9" s="488"/>
      <c r="M9" s="488"/>
      <c r="N9" s="488"/>
      <c r="O9" s="489"/>
    </row>
    <row r="10" spans="1:25" s="452" customFormat="1" ht="31.5">
      <c r="A10" s="490" t="s">
        <v>100</v>
      </c>
      <c r="B10" s="491" t="s">
        <v>225</v>
      </c>
      <c r="C10" s="492">
        <v>2008</v>
      </c>
      <c r="D10" s="493">
        <v>21000</v>
      </c>
      <c r="E10" s="493"/>
      <c r="F10" s="494">
        <v>1050</v>
      </c>
      <c r="G10" s="493"/>
      <c r="H10" s="493"/>
      <c r="I10" s="493"/>
      <c r="J10" s="495">
        <f>F10-H10+G10</f>
        <v>1050</v>
      </c>
      <c r="K10" s="495"/>
      <c r="L10" s="493"/>
      <c r="M10" s="493"/>
      <c r="N10" s="493"/>
      <c r="O10" s="496"/>
      <c r="P10" s="497"/>
      <c r="Q10" s="497"/>
      <c r="R10" s="497"/>
      <c r="S10" s="497"/>
      <c r="T10" s="497"/>
      <c r="U10" s="497"/>
      <c r="V10" s="497"/>
      <c r="W10" s="497"/>
      <c r="X10" s="497"/>
      <c r="Y10" s="497"/>
    </row>
    <row r="11" spans="1:25" s="452" customFormat="1" ht="31.5">
      <c r="A11" s="490" t="s">
        <v>101</v>
      </c>
      <c r="B11" s="498" t="s">
        <v>56</v>
      </c>
      <c r="C11" s="492">
        <v>2008</v>
      </c>
      <c r="D11" s="493">
        <v>195600</v>
      </c>
      <c r="E11" s="493"/>
      <c r="F11" s="493">
        <v>95600</v>
      </c>
      <c r="G11" s="493"/>
      <c r="H11" s="494"/>
      <c r="I11" s="493"/>
      <c r="J11" s="495">
        <f aca="true" t="shared" si="0" ref="J11:J23">F11-H11+G11</f>
        <v>95600</v>
      </c>
      <c r="K11" s="495"/>
      <c r="L11" s="493"/>
      <c r="M11" s="493"/>
      <c r="N11" s="493"/>
      <c r="O11" s="496"/>
      <c r="P11" s="497"/>
      <c r="Q11" s="497"/>
      <c r="R11" s="497"/>
      <c r="S11" s="497"/>
      <c r="T11" s="497"/>
      <c r="U11" s="497"/>
      <c r="V11" s="497"/>
      <c r="W11" s="497"/>
      <c r="X11" s="497"/>
      <c r="Y11" s="497"/>
    </row>
    <row r="12" spans="1:15" ht="31.5">
      <c r="A12" s="490"/>
      <c r="B12" s="499" t="s">
        <v>57</v>
      </c>
      <c r="C12" s="492"/>
      <c r="D12" s="493"/>
      <c r="E12" s="500"/>
      <c r="F12" s="500"/>
      <c r="G12" s="500"/>
      <c r="H12" s="501"/>
      <c r="I12" s="500"/>
      <c r="J12" s="495">
        <f t="shared" si="0"/>
        <v>0</v>
      </c>
      <c r="K12" s="502"/>
      <c r="L12" s="500"/>
      <c r="M12" s="500"/>
      <c r="N12" s="500"/>
      <c r="O12" s="503"/>
    </row>
    <row r="13" spans="1:15" ht="31.5">
      <c r="A13" s="490"/>
      <c r="B13" s="499" t="s">
        <v>78</v>
      </c>
      <c r="C13" s="492"/>
      <c r="D13" s="493">
        <v>-157487</v>
      </c>
      <c r="E13" s="500"/>
      <c r="F13" s="500">
        <f>-76972-639</f>
        <v>-77611</v>
      </c>
      <c r="G13" s="500"/>
      <c r="H13" s="501"/>
      <c r="I13" s="500"/>
      <c r="J13" s="495">
        <f t="shared" si="0"/>
        <v>-77611</v>
      </c>
      <c r="K13" s="502"/>
      <c r="L13" s="500"/>
      <c r="M13" s="500"/>
      <c r="N13" s="500"/>
      <c r="O13" s="503"/>
    </row>
    <row r="14" spans="1:25" s="452" customFormat="1" ht="31.5">
      <c r="A14" s="490"/>
      <c r="B14" s="498" t="s">
        <v>79</v>
      </c>
      <c r="C14" s="492"/>
      <c r="D14" s="493">
        <f>SUM(D11:D13)</f>
        <v>38113</v>
      </c>
      <c r="E14" s="493">
        <f aca="true" t="shared" si="1" ref="E14:O14">SUM(E11:E13)</f>
        <v>0</v>
      </c>
      <c r="F14" s="493">
        <f t="shared" si="1"/>
        <v>17989</v>
      </c>
      <c r="G14" s="493">
        <f t="shared" si="1"/>
        <v>0</v>
      </c>
      <c r="H14" s="493">
        <f t="shared" si="1"/>
        <v>0</v>
      </c>
      <c r="I14" s="493">
        <f t="shared" si="1"/>
        <v>0</v>
      </c>
      <c r="J14" s="493">
        <f t="shared" si="1"/>
        <v>17989</v>
      </c>
      <c r="K14" s="493">
        <f t="shared" si="1"/>
        <v>0</v>
      </c>
      <c r="L14" s="493">
        <f t="shared" si="1"/>
        <v>0</v>
      </c>
      <c r="M14" s="493">
        <f t="shared" si="1"/>
        <v>0</v>
      </c>
      <c r="N14" s="493">
        <f t="shared" si="1"/>
        <v>0</v>
      </c>
      <c r="O14" s="493">
        <f t="shared" si="1"/>
        <v>0</v>
      </c>
      <c r="P14" s="497"/>
      <c r="Q14" s="497"/>
      <c r="R14" s="497"/>
      <c r="S14" s="497"/>
      <c r="T14" s="497"/>
      <c r="U14" s="497"/>
      <c r="V14" s="497"/>
      <c r="W14" s="497"/>
      <c r="X14" s="497"/>
      <c r="Y14" s="497"/>
    </row>
    <row r="15" spans="1:25" s="452" customFormat="1" ht="31.5">
      <c r="A15" s="490" t="s">
        <v>102</v>
      </c>
      <c r="B15" s="504" t="s">
        <v>227</v>
      </c>
      <c r="C15" s="492">
        <v>2008</v>
      </c>
      <c r="D15" s="505">
        <v>63249</v>
      </c>
      <c r="E15" s="493"/>
      <c r="F15" s="505">
        <v>9487</v>
      </c>
      <c r="G15" s="493"/>
      <c r="H15" s="494"/>
      <c r="I15" s="493"/>
      <c r="J15" s="495">
        <f t="shared" si="0"/>
        <v>9487</v>
      </c>
      <c r="K15" s="495"/>
      <c r="L15" s="506"/>
      <c r="M15" s="506"/>
      <c r="N15" s="506"/>
      <c r="O15" s="507"/>
      <c r="P15" s="497"/>
      <c r="Q15" s="497"/>
      <c r="R15" s="497"/>
      <c r="S15" s="497"/>
      <c r="T15" s="497"/>
      <c r="U15" s="497"/>
      <c r="V15" s="497"/>
      <c r="W15" s="497"/>
      <c r="X15" s="497"/>
      <c r="Y15" s="497"/>
    </row>
    <row r="16" spans="1:25" s="452" customFormat="1" ht="47.25">
      <c r="A16" s="490" t="s">
        <v>103</v>
      </c>
      <c r="B16" s="491" t="s">
        <v>228</v>
      </c>
      <c r="C16" s="492">
        <v>2008</v>
      </c>
      <c r="D16" s="493">
        <v>56107</v>
      </c>
      <c r="E16" s="493"/>
      <c r="F16" s="493">
        <f>56107-49029</f>
        <v>7078</v>
      </c>
      <c r="G16" s="493">
        <v>49029</v>
      </c>
      <c r="H16" s="493"/>
      <c r="I16" s="494"/>
      <c r="J16" s="495">
        <f t="shared" si="0"/>
        <v>56107</v>
      </c>
      <c r="K16" s="495">
        <v>49029</v>
      </c>
      <c r="L16" s="506"/>
      <c r="M16" s="508"/>
      <c r="N16" s="506"/>
      <c r="O16" s="509"/>
      <c r="P16" s="497"/>
      <c r="Q16" s="497"/>
      <c r="R16" s="497"/>
      <c r="S16" s="497"/>
      <c r="T16" s="497"/>
      <c r="U16" s="497"/>
      <c r="V16" s="497"/>
      <c r="W16" s="497"/>
      <c r="X16" s="497"/>
      <c r="Y16" s="497"/>
    </row>
    <row r="17" spans="1:15" ht="34.5">
      <c r="A17" s="490"/>
      <c r="B17" s="510" t="s">
        <v>62</v>
      </c>
      <c r="C17" s="492">
        <v>2008</v>
      </c>
      <c r="D17" s="493">
        <v>1052000</v>
      </c>
      <c r="E17" s="500"/>
      <c r="F17" s="500"/>
      <c r="G17" s="500"/>
      <c r="H17" s="501"/>
      <c r="I17" s="501"/>
      <c r="J17" s="502">
        <f t="shared" si="0"/>
        <v>0</v>
      </c>
      <c r="K17" s="502"/>
      <c r="L17" s="511"/>
      <c r="M17" s="512"/>
      <c r="N17" s="511"/>
      <c r="O17" s="513"/>
    </row>
    <row r="18" spans="1:15" ht="34.5">
      <c r="A18" s="490"/>
      <c r="B18" s="510" t="s">
        <v>63</v>
      </c>
      <c r="C18" s="492"/>
      <c r="D18" s="493"/>
      <c r="E18" s="500"/>
      <c r="F18" s="500"/>
      <c r="G18" s="500"/>
      <c r="H18" s="501"/>
      <c r="I18" s="501"/>
      <c r="J18" s="502"/>
      <c r="K18" s="502"/>
      <c r="L18" s="511"/>
      <c r="M18" s="512"/>
      <c r="N18" s="511"/>
      <c r="O18" s="513"/>
    </row>
    <row r="19" spans="1:15" ht="53.25" customHeight="1">
      <c r="A19" s="490"/>
      <c r="B19" s="510" t="s">
        <v>64</v>
      </c>
      <c r="C19" s="492"/>
      <c r="D19" s="493">
        <v>-17500</v>
      </c>
      <c r="E19" s="500"/>
      <c r="F19" s="500">
        <v>51725</v>
      </c>
      <c r="G19" s="500">
        <v>982775</v>
      </c>
      <c r="H19" s="501"/>
      <c r="I19" s="501">
        <v>0</v>
      </c>
      <c r="J19" s="502">
        <v>1034500</v>
      </c>
      <c r="K19" s="502">
        <v>982775</v>
      </c>
      <c r="L19" s="511"/>
      <c r="M19" s="512"/>
      <c r="N19" s="511"/>
      <c r="O19" s="513"/>
    </row>
    <row r="20" spans="1:25" s="452" customFormat="1" ht="50.25">
      <c r="A20" s="490"/>
      <c r="B20" s="491" t="s">
        <v>65</v>
      </c>
      <c r="C20" s="492"/>
      <c r="D20" s="493">
        <f>SUM(D17:D19)</f>
        <v>1034500</v>
      </c>
      <c r="E20" s="493">
        <f aca="true" t="shared" si="2" ref="E20:O20">SUM(E18:E19)</f>
        <v>0</v>
      </c>
      <c r="F20" s="493">
        <f t="shared" si="2"/>
        <v>51725</v>
      </c>
      <c r="G20" s="493">
        <f t="shared" si="2"/>
        <v>982775</v>
      </c>
      <c r="H20" s="493">
        <f t="shared" si="2"/>
        <v>0</v>
      </c>
      <c r="I20" s="493">
        <f t="shared" si="2"/>
        <v>0</v>
      </c>
      <c r="J20" s="493">
        <f t="shared" si="2"/>
        <v>1034500</v>
      </c>
      <c r="K20" s="493">
        <f t="shared" si="2"/>
        <v>982775</v>
      </c>
      <c r="L20" s="493">
        <f t="shared" si="2"/>
        <v>0</v>
      </c>
      <c r="M20" s="493">
        <f t="shared" si="2"/>
        <v>0</v>
      </c>
      <c r="N20" s="493">
        <f t="shared" si="2"/>
        <v>0</v>
      </c>
      <c r="O20" s="493">
        <f t="shared" si="2"/>
        <v>0</v>
      </c>
      <c r="P20" s="497"/>
      <c r="Q20" s="497"/>
      <c r="R20" s="497"/>
      <c r="S20" s="497"/>
      <c r="T20" s="497"/>
      <c r="U20" s="497"/>
      <c r="V20" s="497"/>
      <c r="W20" s="497"/>
      <c r="X20" s="497"/>
      <c r="Y20" s="497"/>
    </row>
    <row r="21" spans="1:25" s="452" customFormat="1" ht="31.5">
      <c r="A21" s="490" t="s">
        <v>146</v>
      </c>
      <c r="B21" s="491" t="s">
        <v>232</v>
      </c>
      <c r="C21" s="492">
        <v>2009</v>
      </c>
      <c r="D21" s="493">
        <v>1500</v>
      </c>
      <c r="E21" s="493"/>
      <c r="F21" s="493">
        <v>1500</v>
      </c>
      <c r="G21" s="514"/>
      <c r="H21" s="493"/>
      <c r="I21" s="494"/>
      <c r="J21" s="495">
        <f t="shared" si="0"/>
        <v>1500</v>
      </c>
      <c r="K21" s="495"/>
      <c r="L21" s="506"/>
      <c r="M21" s="508"/>
      <c r="N21" s="506"/>
      <c r="O21" s="509"/>
      <c r="P21" s="497"/>
      <c r="Q21" s="497"/>
      <c r="R21" s="497"/>
      <c r="S21" s="497"/>
      <c r="T21" s="497"/>
      <c r="U21" s="497"/>
      <c r="V21" s="497"/>
      <c r="W21" s="497"/>
      <c r="X21" s="497"/>
      <c r="Y21" s="497"/>
    </row>
    <row r="22" spans="1:25" s="452" customFormat="1" ht="15.75">
      <c r="A22" s="490" t="s">
        <v>104</v>
      </c>
      <c r="B22" s="491" t="s">
        <v>233</v>
      </c>
      <c r="C22" s="492">
        <v>2008</v>
      </c>
      <c r="D22" s="493">
        <v>4428</v>
      </c>
      <c r="E22" s="493"/>
      <c r="F22" s="493">
        <v>4428</v>
      </c>
      <c r="G22" s="514"/>
      <c r="H22" s="493"/>
      <c r="I22" s="494"/>
      <c r="J22" s="495">
        <f t="shared" si="0"/>
        <v>4428</v>
      </c>
      <c r="K22" s="495"/>
      <c r="L22" s="506"/>
      <c r="M22" s="506"/>
      <c r="N22" s="506"/>
      <c r="O22" s="507"/>
      <c r="P22" s="497"/>
      <c r="Q22" s="497"/>
      <c r="R22" s="497"/>
      <c r="S22" s="497"/>
      <c r="T22" s="497"/>
      <c r="U22" s="497"/>
      <c r="V22" s="497"/>
      <c r="W22" s="497"/>
      <c r="X22" s="497"/>
      <c r="Y22" s="497"/>
    </row>
    <row r="23" spans="1:25" s="452" customFormat="1" ht="15.75">
      <c r="A23" s="490" t="s">
        <v>105</v>
      </c>
      <c r="B23" s="498" t="s">
        <v>85</v>
      </c>
      <c r="C23" s="492" t="s">
        <v>237</v>
      </c>
      <c r="D23" s="493">
        <v>40000</v>
      </c>
      <c r="E23" s="493"/>
      <c r="F23" s="494">
        <v>4000</v>
      </c>
      <c r="G23" s="493"/>
      <c r="H23" s="493"/>
      <c r="I23" s="493"/>
      <c r="J23" s="495">
        <f t="shared" si="0"/>
        <v>4000</v>
      </c>
      <c r="K23" s="495"/>
      <c r="L23" s="493"/>
      <c r="M23" s="493"/>
      <c r="N23" s="493"/>
      <c r="O23" s="496"/>
      <c r="P23" s="497"/>
      <c r="Q23" s="497"/>
      <c r="R23" s="497"/>
      <c r="S23" s="497"/>
      <c r="T23" s="497"/>
      <c r="U23" s="497"/>
      <c r="V23" s="497"/>
      <c r="W23" s="497"/>
      <c r="X23" s="497"/>
      <c r="Y23" s="497"/>
    </row>
    <row r="24" spans="1:15" ht="42.75" customHeight="1">
      <c r="A24" s="490"/>
      <c r="B24" s="499" t="s">
        <v>74</v>
      </c>
      <c r="C24" s="492"/>
      <c r="D24" s="493"/>
      <c r="E24" s="500"/>
      <c r="F24" s="501"/>
      <c r="G24" s="500"/>
      <c r="H24" s="500"/>
      <c r="I24" s="500"/>
      <c r="J24" s="502"/>
      <c r="K24" s="502"/>
      <c r="L24" s="500"/>
      <c r="M24" s="500"/>
      <c r="N24" s="500"/>
      <c r="O24" s="503"/>
    </row>
    <row r="25" spans="1:15" ht="47.25">
      <c r="A25" s="490"/>
      <c r="B25" s="499" t="s">
        <v>75</v>
      </c>
      <c r="C25" s="492"/>
      <c r="D25" s="493">
        <v>53184</v>
      </c>
      <c r="E25" s="500"/>
      <c r="F25" s="501">
        <v>5328</v>
      </c>
      <c r="G25" s="500">
        <v>83856</v>
      </c>
      <c r="H25" s="500"/>
      <c r="I25" s="500"/>
      <c r="J25" s="502">
        <v>5328</v>
      </c>
      <c r="K25" s="502"/>
      <c r="L25" s="500"/>
      <c r="M25" s="500"/>
      <c r="N25" s="500"/>
      <c r="O25" s="503"/>
    </row>
    <row r="26" spans="1:25" s="452" customFormat="1" ht="47.25">
      <c r="A26" s="490"/>
      <c r="B26" s="498" t="s">
        <v>25</v>
      </c>
      <c r="C26" s="492"/>
      <c r="D26" s="493">
        <f>SUM(D23:D25)</f>
        <v>93184</v>
      </c>
      <c r="E26" s="493">
        <f aca="true" t="shared" si="3" ref="E26:O26">SUM(E23:E25)</f>
        <v>0</v>
      </c>
      <c r="F26" s="493">
        <f t="shared" si="3"/>
        <v>9328</v>
      </c>
      <c r="G26" s="493">
        <f t="shared" si="3"/>
        <v>83856</v>
      </c>
      <c r="H26" s="493">
        <f t="shared" si="3"/>
        <v>0</v>
      </c>
      <c r="I26" s="493">
        <f t="shared" si="3"/>
        <v>0</v>
      </c>
      <c r="J26" s="493">
        <f t="shared" si="3"/>
        <v>9328</v>
      </c>
      <c r="K26" s="493">
        <f t="shared" si="3"/>
        <v>0</v>
      </c>
      <c r="L26" s="493">
        <f t="shared" si="3"/>
        <v>0</v>
      </c>
      <c r="M26" s="493">
        <f t="shared" si="3"/>
        <v>0</v>
      </c>
      <c r="N26" s="493">
        <f t="shared" si="3"/>
        <v>0</v>
      </c>
      <c r="O26" s="493">
        <f t="shared" si="3"/>
        <v>0</v>
      </c>
      <c r="P26" s="497"/>
      <c r="Q26" s="497"/>
      <c r="R26" s="497"/>
      <c r="S26" s="497"/>
      <c r="T26" s="497"/>
      <c r="U26" s="497"/>
      <c r="V26" s="497"/>
      <c r="W26" s="497"/>
      <c r="X26" s="497"/>
      <c r="Y26" s="497"/>
    </row>
    <row r="27" spans="1:25" s="452" customFormat="1" ht="15.75">
      <c r="A27" s="490" t="s">
        <v>106</v>
      </c>
      <c r="B27" s="498" t="s">
        <v>277</v>
      </c>
      <c r="C27" s="492" t="s">
        <v>237</v>
      </c>
      <c r="D27" s="493"/>
      <c r="E27" s="493"/>
      <c r="F27" s="494">
        <v>2000</v>
      </c>
      <c r="G27" s="493">
        <f>SUM(F27)</f>
        <v>2000</v>
      </c>
      <c r="H27" s="493"/>
      <c r="I27" s="493"/>
      <c r="J27" s="495">
        <f>F27-H27</f>
        <v>2000</v>
      </c>
      <c r="K27" s="495"/>
      <c r="L27" s="493"/>
      <c r="M27" s="493"/>
      <c r="N27" s="493"/>
      <c r="O27" s="496"/>
      <c r="P27" s="497"/>
      <c r="Q27" s="497"/>
      <c r="R27" s="497"/>
      <c r="S27" s="497"/>
      <c r="T27" s="497"/>
      <c r="U27" s="497"/>
      <c r="V27" s="497"/>
      <c r="W27" s="497"/>
      <c r="X27" s="497"/>
      <c r="Y27" s="497"/>
    </row>
    <row r="28" spans="1:15" ht="31.5">
      <c r="A28" s="490" t="s">
        <v>148</v>
      </c>
      <c r="B28" s="499" t="s">
        <v>76</v>
      </c>
      <c r="C28" s="492" t="s">
        <v>237</v>
      </c>
      <c r="D28" s="493"/>
      <c r="E28" s="500"/>
      <c r="F28" s="501"/>
      <c r="G28" s="500"/>
      <c r="H28" s="500"/>
      <c r="I28" s="500"/>
      <c r="J28" s="502"/>
      <c r="K28" s="502"/>
      <c r="L28" s="500"/>
      <c r="M28" s="500"/>
      <c r="N28" s="500"/>
      <c r="O28" s="503"/>
    </row>
    <row r="29" spans="1:15" ht="31.5">
      <c r="A29" s="490"/>
      <c r="B29" s="499" t="s">
        <v>77</v>
      </c>
      <c r="C29" s="492"/>
      <c r="D29" s="493">
        <v>199188</v>
      </c>
      <c r="E29" s="500"/>
      <c r="F29" s="501">
        <v>19919</v>
      </c>
      <c r="G29" s="500">
        <v>179269</v>
      </c>
      <c r="H29" s="500"/>
      <c r="I29" s="500"/>
      <c r="J29" s="502">
        <v>19919</v>
      </c>
      <c r="K29" s="502"/>
      <c r="L29" s="500"/>
      <c r="M29" s="500"/>
      <c r="N29" s="500"/>
      <c r="O29" s="503"/>
    </row>
    <row r="30" spans="1:25" s="452" customFormat="1" ht="31.5">
      <c r="A30" s="490"/>
      <c r="B30" s="498" t="s">
        <v>26</v>
      </c>
      <c r="C30" s="492"/>
      <c r="D30" s="493">
        <f>SUM(D28:D29)</f>
        <v>199188</v>
      </c>
      <c r="E30" s="493">
        <f aca="true" t="shared" si="4" ref="E30:O30">SUM(E28:E29)</f>
        <v>0</v>
      </c>
      <c r="F30" s="493">
        <f t="shared" si="4"/>
        <v>19919</v>
      </c>
      <c r="G30" s="493">
        <f t="shared" si="4"/>
        <v>179269</v>
      </c>
      <c r="H30" s="493">
        <f t="shared" si="4"/>
        <v>0</v>
      </c>
      <c r="I30" s="493">
        <f t="shared" si="4"/>
        <v>0</v>
      </c>
      <c r="J30" s="493">
        <f t="shared" si="4"/>
        <v>19919</v>
      </c>
      <c r="K30" s="493">
        <f t="shared" si="4"/>
        <v>0</v>
      </c>
      <c r="L30" s="493">
        <f t="shared" si="4"/>
        <v>0</v>
      </c>
      <c r="M30" s="493">
        <f t="shared" si="4"/>
        <v>0</v>
      </c>
      <c r="N30" s="493">
        <f t="shared" si="4"/>
        <v>0</v>
      </c>
      <c r="O30" s="493">
        <f t="shared" si="4"/>
        <v>0</v>
      </c>
      <c r="P30" s="497"/>
      <c r="Q30" s="497"/>
      <c r="R30" s="497"/>
      <c r="S30" s="497"/>
      <c r="T30" s="497"/>
      <c r="U30" s="497"/>
      <c r="V30" s="497"/>
      <c r="W30" s="497"/>
      <c r="X30" s="497"/>
      <c r="Y30" s="497"/>
    </row>
    <row r="31" spans="1:15" ht="15.75">
      <c r="A31" s="490" t="s">
        <v>149</v>
      </c>
      <c r="B31" s="499" t="s">
        <v>82</v>
      </c>
      <c r="C31" s="492"/>
      <c r="D31" s="493"/>
      <c r="E31" s="500"/>
      <c r="F31" s="501"/>
      <c r="G31" s="500"/>
      <c r="H31" s="500"/>
      <c r="I31" s="500"/>
      <c r="J31" s="502">
        <f>F31-H31</f>
        <v>0</v>
      </c>
      <c r="K31" s="502"/>
      <c r="L31" s="500"/>
      <c r="M31" s="500"/>
      <c r="N31" s="500"/>
      <c r="O31" s="503"/>
    </row>
    <row r="32" spans="1:15" ht="15.75">
      <c r="A32" s="490"/>
      <c r="B32" s="499" t="s">
        <v>83</v>
      </c>
      <c r="C32" s="515"/>
      <c r="D32" s="516">
        <v>639</v>
      </c>
      <c r="E32" s="517"/>
      <c r="F32" s="517">
        <v>639</v>
      </c>
      <c r="G32" s="517"/>
      <c r="H32" s="518"/>
      <c r="I32" s="518"/>
      <c r="J32" s="519">
        <v>639</v>
      </c>
      <c r="K32" s="519"/>
      <c r="L32" s="520"/>
      <c r="M32" s="521"/>
      <c r="N32" s="520"/>
      <c r="O32" s="522"/>
    </row>
    <row r="33" spans="1:15" ht="15.75">
      <c r="A33" s="490"/>
      <c r="B33" s="499" t="s">
        <v>84</v>
      </c>
      <c r="C33" s="523"/>
      <c r="D33" s="524">
        <f>SUM(D31:D32)</f>
        <v>639</v>
      </c>
      <c r="E33" s="524">
        <f aca="true" t="shared" si="5" ref="E33:O33">SUM(E31:E32)</f>
        <v>0</v>
      </c>
      <c r="F33" s="524">
        <f t="shared" si="5"/>
        <v>639</v>
      </c>
      <c r="G33" s="524">
        <f t="shared" si="5"/>
        <v>0</v>
      </c>
      <c r="H33" s="524">
        <f t="shared" si="5"/>
        <v>0</v>
      </c>
      <c r="I33" s="524">
        <f t="shared" si="5"/>
        <v>0</v>
      </c>
      <c r="J33" s="524">
        <f t="shared" si="5"/>
        <v>639</v>
      </c>
      <c r="K33" s="524">
        <f t="shared" si="5"/>
        <v>0</v>
      </c>
      <c r="L33" s="524">
        <f t="shared" si="5"/>
        <v>0</v>
      </c>
      <c r="M33" s="524">
        <f t="shared" si="5"/>
        <v>0</v>
      </c>
      <c r="N33" s="524">
        <f t="shared" si="5"/>
        <v>0</v>
      </c>
      <c r="O33" s="524">
        <f t="shared" si="5"/>
        <v>0</v>
      </c>
    </row>
    <row r="34" spans="1:15" ht="31.5">
      <c r="A34" s="525"/>
      <c r="B34" s="526" t="s">
        <v>58</v>
      </c>
      <c r="C34" s="527"/>
      <c r="D34" s="528">
        <f>SUM(D10,D11,D15,D16,D17,D21,D22,D23,D27)</f>
        <v>1433884</v>
      </c>
      <c r="E34" s="528">
        <f aca="true" t="shared" si="6" ref="E34:O34">SUM(E10,E11,E15,E16,E17,E21,E22,E23,E27)</f>
        <v>0</v>
      </c>
      <c r="F34" s="528">
        <f t="shared" si="6"/>
        <v>125143</v>
      </c>
      <c r="G34" s="528">
        <f t="shared" si="6"/>
        <v>51029</v>
      </c>
      <c r="H34" s="528">
        <f t="shared" si="6"/>
        <v>0</v>
      </c>
      <c r="I34" s="528">
        <f t="shared" si="6"/>
        <v>0</v>
      </c>
      <c r="J34" s="528">
        <f t="shared" si="6"/>
        <v>174172</v>
      </c>
      <c r="K34" s="528">
        <f t="shared" si="6"/>
        <v>49029</v>
      </c>
      <c r="L34" s="528">
        <f t="shared" si="6"/>
        <v>0</v>
      </c>
      <c r="M34" s="528">
        <f t="shared" si="6"/>
        <v>0</v>
      </c>
      <c r="N34" s="528">
        <f t="shared" si="6"/>
        <v>0</v>
      </c>
      <c r="O34" s="528">
        <f t="shared" si="6"/>
        <v>0</v>
      </c>
    </row>
    <row r="35" spans="1:15" ht="31.5">
      <c r="A35" s="525"/>
      <c r="B35" s="526" t="s">
        <v>59</v>
      </c>
      <c r="C35" s="527"/>
      <c r="D35" s="528">
        <f>SUM(D12,D18,D24,D28,D31)</f>
        <v>0</v>
      </c>
      <c r="E35" s="528">
        <f aca="true" t="shared" si="7" ref="E35:O35">SUM(E12,E18,E24,E28,E31)</f>
        <v>0</v>
      </c>
      <c r="F35" s="528">
        <f t="shared" si="7"/>
        <v>0</v>
      </c>
      <c r="G35" s="528">
        <f t="shared" si="7"/>
        <v>0</v>
      </c>
      <c r="H35" s="528">
        <f t="shared" si="7"/>
        <v>0</v>
      </c>
      <c r="I35" s="528">
        <f t="shared" si="7"/>
        <v>0</v>
      </c>
      <c r="J35" s="528">
        <f t="shared" si="7"/>
        <v>0</v>
      </c>
      <c r="K35" s="528">
        <f t="shared" si="7"/>
        <v>0</v>
      </c>
      <c r="L35" s="528">
        <f t="shared" si="7"/>
        <v>0</v>
      </c>
      <c r="M35" s="528">
        <f t="shared" si="7"/>
        <v>0</v>
      </c>
      <c r="N35" s="528">
        <f t="shared" si="7"/>
        <v>0</v>
      </c>
      <c r="O35" s="528">
        <f t="shared" si="7"/>
        <v>0</v>
      </c>
    </row>
    <row r="36" spans="1:15" ht="31.5">
      <c r="A36" s="525"/>
      <c r="B36" s="526" t="s">
        <v>60</v>
      </c>
      <c r="C36" s="527"/>
      <c r="D36" s="528">
        <f>SUM(D13,D19,D25,D29,D32)</f>
        <v>78024</v>
      </c>
      <c r="E36" s="528">
        <f aca="true" t="shared" si="8" ref="E36:O36">SUM(E13,E19,E25,E29,E32)</f>
        <v>0</v>
      </c>
      <c r="F36" s="528">
        <f t="shared" si="8"/>
        <v>0</v>
      </c>
      <c r="G36" s="528">
        <f t="shared" si="8"/>
        <v>1245900</v>
      </c>
      <c r="H36" s="528">
        <f t="shared" si="8"/>
        <v>0</v>
      </c>
      <c r="I36" s="528">
        <f t="shared" si="8"/>
        <v>0</v>
      </c>
      <c r="J36" s="528">
        <f t="shared" si="8"/>
        <v>982775</v>
      </c>
      <c r="K36" s="528">
        <f t="shared" si="8"/>
        <v>982775</v>
      </c>
      <c r="L36" s="528">
        <f t="shared" si="8"/>
        <v>0</v>
      </c>
      <c r="M36" s="528">
        <f t="shared" si="8"/>
        <v>0</v>
      </c>
      <c r="N36" s="528">
        <f t="shared" si="8"/>
        <v>0</v>
      </c>
      <c r="O36" s="528">
        <f t="shared" si="8"/>
        <v>0</v>
      </c>
    </row>
    <row r="37" spans="1:15" ht="31.5">
      <c r="A37" s="525"/>
      <c r="B37" s="526" t="s">
        <v>61</v>
      </c>
      <c r="C37" s="527"/>
      <c r="D37" s="528">
        <f>SUM(D10,D14,D15,D20,D16,D21,D22,D26,D30,D33)</f>
        <v>1511908</v>
      </c>
      <c r="E37" s="528">
        <f>SUM(E10,E14,E15,E20,E16,E21,E22,E26,E30,E33)</f>
        <v>0</v>
      </c>
      <c r="F37" s="528">
        <f>SUM(F10,F14,F15,F20,F16,F21,F22,F26,F27,F30,F33)</f>
        <v>125143</v>
      </c>
      <c r="G37" s="528">
        <f aca="true" t="shared" si="9" ref="G37:O37">SUM(G10,G14,G15,G20,G16,G21,G22,G26,G27,G30,G33)</f>
        <v>1296929</v>
      </c>
      <c r="H37" s="528">
        <f t="shared" si="9"/>
        <v>0</v>
      </c>
      <c r="I37" s="528">
        <f t="shared" si="9"/>
        <v>0</v>
      </c>
      <c r="J37" s="528">
        <f t="shared" si="9"/>
        <v>1156947</v>
      </c>
      <c r="K37" s="528">
        <f t="shared" si="9"/>
        <v>1031804</v>
      </c>
      <c r="L37" s="528">
        <f t="shared" si="9"/>
        <v>0</v>
      </c>
      <c r="M37" s="528">
        <f t="shared" si="9"/>
        <v>0</v>
      </c>
      <c r="N37" s="528">
        <f t="shared" si="9"/>
        <v>0</v>
      </c>
      <c r="O37" s="528">
        <f t="shared" si="9"/>
        <v>0</v>
      </c>
    </row>
    <row r="38" spans="4:15" ht="15.75"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</row>
    <row r="39" spans="2:15" ht="15.75">
      <c r="B39" s="533" t="s">
        <v>231</v>
      </c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534"/>
      <c r="N39" s="534"/>
      <c r="O39" s="534"/>
    </row>
    <row r="40" spans="2:11" ht="15.75">
      <c r="B40" s="533" t="s">
        <v>80</v>
      </c>
      <c r="C40" s="534"/>
      <c r="D40" s="534"/>
      <c r="E40" s="534"/>
      <c r="F40" s="534"/>
      <c r="G40" s="534"/>
      <c r="H40" s="534"/>
      <c r="I40" s="534"/>
      <c r="J40" s="535"/>
      <c r="K40" s="538"/>
    </row>
    <row r="41" spans="2:11" ht="15.75">
      <c r="B41" s="536" t="s">
        <v>81</v>
      </c>
      <c r="C41" s="534"/>
      <c r="D41" s="534"/>
      <c r="E41" s="534"/>
      <c r="F41" s="534"/>
      <c r="G41" s="534"/>
      <c r="H41" s="534"/>
      <c r="I41" s="534"/>
      <c r="J41" s="534"/>
      <c r="K41" s="534"/>
    </row>
    <row r="49" ht="15.75">
      <c r="I49" s="537"/>
    </row>
  </sheetData>
  <mergeCells count="3">
    <mergeCell ref="A4:O4"/>
    <mergeCell ref="D6:E6"/>
    <mergeCell ref="J6:K6"/>
  </mergeCells>
  <printOptions/>
  <pageMargins left="0.75" right="0.75" top="1" bottom="1" header="0.5" footer="0.5"/>
  <pageSetup horizontalDpi="600" verticalDpi="600" orientation="landscape" paperSize="9" scale="57" r:id="rId1"/>
  <headerFooter alignWithMargins="0">
    <oddHeader>&amp;L&amp;"Times New Roman,Dőlt"&amp;14Vámospércs Városi Önkormányzat&amp;R3. számú melléklet</oddHeader>
    <oddFooter>&amp;C&amp;P. oldal</oddFooter>
  </headerFooter>
  <rowBreaks count="1" manualBreakCount="1">
    <brk id="27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3:O33"/>
  <sheetViews>
    <sheetView workbookViewId="0" topLeftCell="A1">
      <selection activeCell="A2" sqref="A2"/>
    </sheetView>
  </sheetViews>
  <sheetFormatPr defaultColWidth="8.00390625" defaultRowHeight="12.75"/>
  <cols>
    <col min="1" max="1" width="4.00390625" style="268" customWidth="1"/>
    <col min="2" max="2" width="41.28125" style="269" customWidth="1"/>
    <col min="3" max="3" width="6.57421875" style="173" customWidth="1"/>
    <col min="4" max="4" width="9.421875" style="173" customWidth="1"/>
    <col min="5" max="5" width="6.57421875" style="173" customWidth="1"/>
    <col min="6" max="6" width="9.421875" style="173" customWidth="1"/>
    <col min="7" max="7" width="9.00390625" style="173" customWidth="1"/>
    <col min="8" max="8" width="8.57421875" style="173" customWidth="1"/>
    <col min="9" max="9" width="8.7109375" style="173" customWidth="1"/>
    <col min="10" max="10" width="8.57421875" style="173" customWidth="1"/>
    <col min="11" max="11" width="8.28125" style="173" customWidth="1"/>
    <col min="12" max="12" width="8.00390625" style="173" customWidth="1"/>
    <col min="13" max="13" width="6.57421875" style="173" customWidth="1"/>
    <col min="14" max="14" width="6.7109375" style="173" customWidth="1"/>
    <col min="15" max="15" width="5.7109375" style="173" customWidth="1"/>
    <col min="16" max="16384" width="8.00390625" style="172" customWidth="1"/>
  </cols>
  <sheetData>
    <row r="3" spans="1:15" ht="24" customHeight="1">
      <c r="A3" s="168"/>
      <c r="B3" s="169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1"/>
      <c r="N3" s="170"/>
      <c r="O3" s="171"/>
    </row>
    <row r="4" spans="1:15" s="173" customFormat="1" ht="26.25" customHeight="1">
      <c r="A4" s="581" t="s">
        <v>236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</row>
    <row r="5" spans="1:15" ht="13.5" customHeight="1" thickBot="1">
      <c r="A5" s="174"/>
      <c r="B5" s="175"/>
      <c r="C5" s="170"/>
      <c r="D5" s="170"/>
      <c r="E5" s="170"/>
      <c r="F5" s="176"/>
      <c r="G5" s="176"/>
      <c r="H5" s="176"/>
      <c r="I5" s="176"/>
      <c r="J5" s="176"/>
      <c r="K5" s="170"/>
      <c r="L5" s="170"/>
      <c r="M5" s="171"/>
      <c r="N5" s="170"/>
      <c r="O5" s="177" t="s">
        <v>99</v>
      </c>
    </row>
    <row r="6" spans="1:15" s="173" customFormat="1" ht="19.5" customHeight="1">
      <c r="A6" s="178" t="s">
        <v>108</v>
      </c>
      <c r="B6" s="179" t="s">
        <v>109</v>
      </c>
      <c r="C6" s="180"/>
      <c r="D6" s="582" t="s">
        <v>110</v>
      </c>
      <c r="E6" s="583"/>
      <c r="F6" s="181" t="s">
        <v>111</v>
      </c>
      <c r="G6" s="182"/>
      <c r="H6" s="181" t="s">
        <v>112</v>
      </c>
      <c r="I6" s="183"/>
      <c r="J6" s="582" t="s">
        <v>113</v>
      </c>
      <c r="K6" s="584"/>
      <c r="L6" s="273" t="s">
        <v>114</v>
      </c>
      <c r="M6" s="274"/>
      <c r="N6" s="273" t="s">
        <v>115</v>
      </c>
      <c r="O6" s="275"/>
    </row>
    <row r="7" spans="1:15" s="173" customFormat="1" ht="21.75" thickBot="1">
      <c r="A7" s="184" t="s">
        <v>116</v>
      </c>
      <c r="B7" s="185"/>
      <c r="C7" s="186" t="s">
        <v>204</v>
      </c>
      <c r="D7" s="186" t="s">
        <v>97</v>
      </c>
      <c r="E7" s="187" t="s">
        <v>117</v>
      </c>
      <c r="F7" s="187" t="s">
        <v>118</v>
      </c>
      <c r="G7" s="187" t="s">
        <v>119</v>
      </c>
      <c r="H7" s="186" t="s">
        <v>118</v>
      </c>
      <c r="I7" s="187" t="s">
        <v>119</v>
      </c>
      <c r="J7" s="188" t="s">
        <v>241</v>
      </c>
      <c r="K7" s="187" t="s">
        <v>119</v>
      </c>
      <c r="L7" s="188" t="s">
        <v>118</v>
      </c>
      <c r="M7" s="271" t="s">
        <v>119</v>
      </c>
      <c r="N7" s="188" t="s">
        <v>118</v>
      </c>
      <c r="O7" s="272" t="s">
        <v>119</v>
      </c>
    </row>
    <row r="8" spans="1:15" s="173" customFormat="1" ht="17.25" customHeight="1" thickBot="1">
      <c r="A8" s="189"/>
      <c r="B8" s="185" t="s">
        <v>209</v>
      </c>
      <c r="C8" s="190" t="s">
        <v>206</v>
      </c>
      <c r="D8" s="190"/>
      <c r="E8" s="191"/>
      <c r="F8" s="191" t="s">
        <v>120</v>
      </c>
      <c r="G8" s="191"/>
      <c r="H8" s="191" t="s">
        <v>120</v>
      </c>
      <c r="I8" s="191"/>
      <c r="J8" s="191" t="s">
        <v>242</v>
      </c>
      <c r="K8" s="191"/>
      <c r="L8" s="191" t="s">
        <v>120</v>
      </c>
      <c r="M8" s="190"/>
      <c r="N8" s="191" t="s">
        <v>120</v>
      </c>
      <c r="O8" s="192"/>
    </row>
    <row r="9" spans="1:15" ht="20.25" customHeight="1" hidden="1">
      <c r="A9" s="193" t="s">
        <v>88</v>
      </c>
      <c r="B9" s="194" t="s">
        <v>121</v>
      </c>
      <c r="C9" s="195"/>
      <c r="D9" s="196"/>
      <c r="E9" s="196"/>
      <c r="F9" s="196"/>
      <c r="G9" s="197"/>
      <c r="H9" s="196"/>
      <c r="I9" s="198"/>
      <c r="J9" s="199"/>
      <c r="K9" s="199"/>
      <c r="L9" s="198"/>
      <c r="M9" s="198"/>
      <c r="N9" s="198"/>
      <c r="O9" s="200"/>
    </row>
    <row r="10" spans="1:15" s="209" customFormat="1" ht="27" customHeight="1" hidden="1">
      <c r="A10" s="201" t="s">
        <v>100</v>
      </c>
      <c r="B10" s="202" t="s">
        <v>87</v>
      </c>
      <c r="C10" s="203"/>
      <c r="D10" s="204"/>
      <c r="E10" s="204"/>
      <c r="F10" s="204"/>
      <c r="G10" s="205"/>
      <c r="H10" s="204"/>
      <c r="I10" s="206"/>
      <c r="J10" s="207"/>
      <c r="K10" s="207"/>
      <c r="L10" s="206"/>
      <c r="M10" s="206"/>
      <c r="N10" s="206"/>
      <c r="O10" s="208"/>
    </row>
    <row r="11" spans="1:15" ht="25.5" customHeight="1" hidden="1">
      <c r="A11" s="210"/>
      <c r="B11" s="211" t="s">
        <v>122</v>
      </c>
      <c r="C11" s="205">
        <v>2009</v>
      </c>
      <c r="D11" s="212"/>
      <c r="E11" s="212">
        <v>1515</v>
      </c>
      <c r="F11" s="213">
        <v>1515</v>
      </c>
      <c r="G11" s="214"/>
      <c r="H11" s="213"/>
      <c r="I11" s="215"/>
      <c r="J11" s="216">
        <v>1515</v>
      </c>
      <c r="K11" s="216"/>
      <c r="L11" s="215"/>
      <c r="M11" s="215"/>
      <c r="N11" s="215"/>
      <c r="O11" s="217"/>
    </row>
    <row r="12" spans="1:15" s="209" customFormat="1" ht="15" customHeight="1" hidden="1">
      <c r="A12" s="201" t="s">
        <v>101</v>
      </c>
      <c r="B12" s="202" t="s">
        <v>123</v>
      </c>
      <c r="C12" s="203"/>
      <c r="D12" s="218"/>
      <c r="E12" s="218"/>
      <c r="F12" s="204"/>
      <c r="G12" s="205"/>
      <c r="H12" s="204"/>
      <c r="I12" s="206"/>
      <c r="J12" s="207"/>
      <c r="K12" s="207"/>
      <c r="L12" s="206"/>
      <c r="M12" s="206"/>
      <c r="N12" s="206"/>
      <c r="O12" s="208"/>
    </row>
    <row r="13" spans="1:15" s="209" customFormat="1" ht="17.25" customHeight="1" hidden="1">
      <c r="A13" s="219"/>
      <c r="B13" s="220" t="s">
        <v>124</v>
      </c>
      <c r="C13" s="221">
        <v>2009</v>
      </c>
      <c r="D13" s="222"/>
      <c r="E13" s="222">
        <v>15000</v>
      </c>
      <c r="F13" s="213">
        <v>15000</v>
      </c>
      <c r="G13" s="205"/>
      <c r="H13" s="204"/>
      <c r="I13" s="206"/>
      <c r="J13" s="216">
        <v>15000</v>
      </c>
      <c r="K13" s="207"/>
      <c r="L13" s="206"/>
      <c r="M13" s="206"/>
      <c r="N13" s="206"/>
      <c r="O13" s="208"/>
    </row>
    <row r="14" spans="1:15" ht="16.5" customHeight="1" hidden="1">
      <c r="A14" s="223"/>
      <c r="B14" s="585" t="s">
        <v>125</v>
      </c>
      <c r="C14" s="224"/>
      <c r="D14" s="225">
        <f>SUM(D9:D13)</f>
        <v>0</v>
      </c>
      <c r="E14" s="226">
        <v>0</v>
      </c>
      <c r="F14" s="226">
        <f>SUM(F10:F13)</f>
        <v>16515</v>
      </c>
      <c r="G14" s="226">
        <v>0</v>
      </c>
      <c r="H14" s="226">
        <v>0</v>
      </c>
      <c r="I14" s="226">
        <v>0</v>
      </c>
      <c r="J14" s="226">
        <f>SUM(J11:J13)</f>
        <v>16515</v>
      </c>
      <c r="K14" s="226">
        <v>0</v>
      </c>
      <c r="L14" s="226">
        <v>0</v>
      </c>
      <c r="M14" s="226">
        <v>0</v>
      </c>
      <c r="N14" s="226">
        <v>0</v>
      </c>
      <c r="O14" s="227">
        <v>0</v>
      </c>
    </row>
    <row r="15" spans="1:15" ht="16.5" customHeight="1" hidden="1">
      <c r="A15" s="228"/>
      <c r="B15" s="586"/>
      <c r="C15" s="229"/>
      <c r="D15" s="587">
        <f>D14+E14</f>
        <v>0</v>
      </c>
      <c r="E15" s="588"/>
      <c r="F15" s="230">
        <f>F14+G14</f>
        <v>16515</v>
      </c>
      <c r="G15" s="230"/>
      <c r="H15" s="230">
        <f>H14+I14</f>
        <v>0</v>
      </c>
      <c r="I15" s="230"/>
      <c r="J15" s="230">
        <f>J14+K14</f>
        <v>16515</v>
      </c>
      <c r="K15" s="230"/>
      <c r="L15" s="589">
        <f>L14+M14</f>
        <v>0</v>
      </c>
      <c r="M15" s="590"/>
      <c r="N15" s="589">
        <f>N14+O14</f>
        <v>0</v>
      </c>
      <c r="O15" s="591"/>
    </row>
    <row r="16" spans="1:15" s="173" customFormat="1" ht="6.75" customHeight="1" thickBot="1">
      <c r="A16" s="578"/>
      <c r="B16" s="579"/>
      <c r="C16" s="579"/>
      <c r="D16" s="579"/>
      <c r="E16" s="579"/>
      <c r="F16" s="579"/>
      <c r="G16" s="579"/>
      <c r="H16" s="579"/>
      <c r="I16" s="579"/>
      <c r="J16" s="579"/>
      <c r="K16" s="579"/>
      <c r="L16" s="579"/>
      <c r="M16" s="579"/>
      <c r="N16" s="579"/>
      <c r="O16" s="580"/>
    </row>
    <row r="17" spans="1:15" ht="19.5" customHeight="1">
      <c r="A17" s="231"/>
      <c r="B17" s="232" t="s">
        <v>126</v>
      </c>
      <c r="C17" s="233"/>
      <c r="D17" s="234"/>
      <c r="E17" s="234"/>
      <c r="F17" s="234"/>
      <c r="G17" s="235"/>
      <c r="H17" s="234"/>
      <c r="I17" s="234"/>
      <c r="J17" s="236"/>
      <c r="K17" s="236"/>
      <c r="L17" s="236"/>
      <c r="M17" s="236"/>
      <c r="N17" s="236"/>
      <c r="O17" s="237"/>
    </row>
    <row r="18" spans="1:15" s="173" customFormat="1" ht="26.25" customHeight="1">
      <c r="A18" s="238" t="s">
        <v>100</v>
      </c>
      <c r="B18" s="253" t="s">
        <v>225</v>
      </c>
      <c r="C18" s="240">
        <v>2008</v>
      </c>
      <c r="D18" s="241">
        <v>21000</v>
      </c>
      <c r="E18" s="242"/>
      <c r="F18" s="243">
        <v>1050</v>
      </c>
      <c r="G18" s="242"/>
      <c r="H18" s="242"/>
      <c r="I18" s="242"/>
      <c r="J18" s="244">
        <f>F18-H18+G18</f>
        <v>1050</v>
      </c>
      <c r="K18" s="244"/>
      <c r="L18" s="242"/>
      <c r="M18" s="242"/>
      <c r="N18" s="242"/>
      <c r="O18" s="245"/>
    </row>
    <row r="19" spans="1:15" s="173" customFormat="1" ht="15.75" customHeight="1">
      <c r="A19" s="238" t="s">
        <v>101</v>
      </c>
      <c r="B19" s="239" t="s">
        <v>226</v>
      </c>
      <c r="C19" s="240">
        <v>2008</v>
      </c>
      <c r="D19" s="241">
        <v>195600</v>
      </c>
      <c r="E19" s="242"/>
      <c r="F19" s="242">
        <v>95600</v>
      </c>
      <c r="G19" s="242"/>
      <c r="H19" s="243"/>
      <c r="I19" s="242"/>
      <c r="J19" s="244">
        <f aca="true" t="shared" si="0" ref="J19:J25">F19-H19+G19</f>
        <v>95600</v>
      </c>
      <c r="K19" s="244"/>
      <c r="L19" s="242"/>
      <c r="M19" s="242"/>
      <c r="N19" s="242"/>
      <c r="O19" s="245"/>
    </row>
    <row r="20" spans="1:15" ht="14.25" customHeight="1">
      <c r="A20" s="238" t="s">
        <v>103</v>
      </c>
      <c r="B20" s="246" t="s">
        <v>227</v>
      </c>
      <c r="C20" s="240">
        <v>2008</v>
      </c>
      <c r="D20" s="247">
        <v>63249</v>
      </c>
      <c r="E20" s="242"/>
      <c r="F20" s="248">
        <v>9487</v>
      </c>
      <c r="G20" s="242"/>
      <c r="H20" s="243"/>
      <c r="I20" s="242"/>
      <c r="J20" s="244">
        <f t="shared" si="0"/>
        <v>9487</v>
      </c>
      <c r="K20" s="244"/>
      <c r="L20" s="249"/>
      <c r="M20" s="249"/>
      <c r="N20" s="249"/>
      <c r="O20" s="250"/>
    </row>
    <row r="21" spans="1:15" s="173" customFormat="1" ht="27" customHeight="1">
      <c r="A21" s="238" t="s">
        <v>146</v>
      </c>
      <c r="B21" s="284" t="s">
        <v>228</v>
      </c>
      <c r="C21" s="240">
        <v>2008</v>
      </c>
      <c r="D21" s="241">
        <v>56107</v>
      </c>
      <c r="E21" s="242"/>
      <c r="F21" s="242">
        <f>56107-49029</f>
        <v>7078</v>
      </c>
      <c r="G21" s="242">
        <v>49029</v>
      </c>
      <c r="H21" s="242"/>
      <c r="I21" s="243"/>
      <c r="J21" s="244">
        <f t="shared" si="0"/>
        <v>56107</v>
      </c>
      <c r="K21" s="244">
        <v>49029</v>
      </c>
      <c r="L21" s="249"/>
      <c r="M21" s="251"/>
      <c r="N21" s="249"/>
      <c r="O21" s="252"/>
    </row>
    <row r="22" spans="1:15" s="173" customFormat="1" ht="26.25" customHeight="1">
      <c r="A22" s="238" t="s">
        <v>105</v>
      </c>
      <c r="B22" s="284" t="s">
        <v>230</v>
      </c>
      <c r="C22" s="240">
        <v>2008</v>
      </c>
      <c r="D22" s="241">
        <v>1052000</v>
      </c>
      <c r="E22" s="242"/>
      <c r="F22" s="242"/>
      <c r="G22" s="242"/>
      <c r="H22" s="243"/>
      <c r="I22" s="243"/>
      <c r="J22" s="244">
        <f t="shared" si="0"/>
        <v>0</v>
      </c>
      <c r="K22" s="244"/>
      <c r="L22" s="249"/>
      <c r="M22" s="251"/>
      <c r="N22" s="249"/>
      <c r="O22" s="252"/>
    </row>
    <row r="23" spans="1:15" s="173" customFormat="1" ht="23.25" customHeight="1">
      <c r="A23" s="238" t="s">
        <v>106</v>
      </c>
      <c r="B23" s="253" t="s">
        <v>232</v>
      </c>
      <c r="C23" s="240">
        <v>2009</v>
      </c>
      <c r="D23" s="241">
        <v>1500</v>
      </c>
      <c r="E23" s="242"/>
      <c r="F23" s="242">
        <v>1500</v>
      </c>
      <c r="G23" s="254"/>
      <c r="H23" s="242"/>
      <c r="I23" s="243"/>
      <c r="J23" s="244">
        <f t="shared" si="0"/>
        <v>1500</v>
      </c>
      <c r="K23" s="244"/>
      <c r="L23" s="249"/>
      <c r="M23" s="251"/>
      <c r="N23" s="249"/>
      <c r="O23" s="252"/>
    </row>
    <row r="24" spans="1:15" s="173" customFormat="1" ht="23.25" customHeight="1">
      <c r="A24" s="238" t="s">
        <v>148</v>
      </c>
      <c r="B24" s="253" t="s">
        <v>233</v>
      </c>
      <c r="C24" s="240">
        <v>2008</v>
      </c>
      <c r="D24" s="241">
        <v>4428</v>
      </c>
      <c r="E24" s="242"/>
      <c r="F24" s="242">
        <v>4428</v>
      </c>
      <c r="G24" s="254"/>
      <c r="H24" s="242"/>
      <c r="I24" s="243"/>
      <c r="J24" s="244">
        <f t="shared" si="0"/>
        <v>4428</v>
      </c>
      <c r="K24" s="244"/>
      <c r="L24" s="249"/>
      <c r="M24" s="249"/>
      <c r="N24" s="249"/>
      <c r="O24" s="250"/>
    </row>
    <row r="25" spans="1:15" s="173" customFormat="1" ht="23.25" customHeight="1">
      <c r="A25" s="238" t="s">
        <v>149</v>
      </c>
      <c r="B25" s="239" t="s">
        <v>238</v>
      </c>
      <c r="C25" s="240" t="s">
        <v>237</v>
      </c>
      <c r="D25" s="241">
        <v>40000</v>
      </c>
      <c r="E25" s="242"/>
      <c r="F25" s="243">
        <v>4000</v>
      </c>
      <c r="G25" s="242"/>
      <c r="H25" s="242"/>
      <c r="I25" s="242"/>
      <c r="J25" s="244">
        <f t="shared" si="0"/>
        <v>4000</v>
      </c>
      <c r="K25" s="244"/>
      <c r="L25" s="242"/>
      <c r="M25" s="242"/>
      <c r="N25" s="242"/>
      <c r="O25" s="245"/>
    </row>
    <row r="26" spans="1:15" s="173" customFormat="1" ht="17.25" customHeight="1">
      <c r="A26" s="238" t="s">
        <v>150</v>
      </c>
      <c r="B26" s="239" t="s">
        <v>277</v>
      </c>
      <c r="C26" s="240" t="s">
        <v>237</v>
      </c>
      <c r="D26" s="241"/>
      <c r="E26" s="242"/>
      <c r="F26" s="243">
        <v>2000</v>
      </c>
      <c r="G26" s="242"/>
      <c r="H26" s="242"/>
      <c r="I26" s="242"/>
      <c r="J26" s="244">
        <f>F26-H26</f>
        <v>2000</v>
      </c>
      <c r="K26" s="244"/>
      <c r="L26" s="242"/>
      <c r="M26" s="242"/>
      <c r="N26" s="242"/>
      <c r="O26" s="245"/>
    </row>
    <row r="27" spans="1:15" s="173" customFormat="1" ht="17.25" customHeight="1">
      <c r="A27" s="238" t="s">
        <v>151</v>
      </c>
      <c r="B27" s="239"/>
      <c r="C27" s="240"/>
      <c r="D27" s="241"/>
      <c r="E27" s="242"/>
      <c r="F27" s="243"/>
      <c r="G27" s="242"/>
      <c r="H27" s="242"/>
      <c r="I27" s="242"/>
      <c r="J27" s="244">
        <f>F27-H27</f>
        <v>0</v>
      </c>
      <c r="K27" s="244"/>
      <c r="L27" s="242"/>
      <c r="M27" s="242"/>
      <c r="N27" s="242"/>
      <c r="O27" s="245"/>
    </row>
    <row r="28" spans="1:15" ht="18.75" customHeight="1">
      <c r="A28" s="238" t="s">
        <v>152</v>
      </c>
      <c r="B28" s="239"/>
      <c r="C28" s="255"/>
      <c r="D28" s="218"/>
      <c r="E28" s="212"/>
      <c r="F28" s="212"/>
      <c r="G28" s="212"/>
      <c r="H28" s="256"/>
      <c r="I28" s="256"/>
      <c r="J28" s="257">
        <f>F28-H28</f>
        <v>0</v>
      </c>
      <c r="K28" s="257"/>
      <c r="L28" s="215"/>
      <c r="M28" s="258"/>
      <c r="N28" s="215"/>
      <c r="O28" s="259"/>
    </row>
    <row r="29" spans="1:15" s="209" customFormat="1" ht="17.25" customHeight="1">
      <c r="A29" s="238" t="s">
        <v>153</v>
      </c>
      <c r="B29" s="220"/>
      <c r="C29" s="221"/>
      <c r="D29" s="260"/>
      <c r="E29" s="260"/>
      <c r="F29" s="212"/>
      <c r="G29" s="205"/>
      <c r="H29" s="204"/>
      <c r="I29" s="206"/>
      <c r="J29" s="216"/>
      <c r="K29" s="207"/>
      <c r="L29" s="206"/>
      <c r="M29" s="206"/>
      <c r="N29" s="206"/>
      <c r="O29" s="208"/>
    </row>
    <row r="30" spans="1:15" s="209" customFormat="1" ht="14.25" customHeight="1">
      <c r="A30" s="261"/>
      <c r="B30" s="262" t="s">
        <v>210</v>
      </c>
      <c r="C30" s="263"/>
      <c r="D30" s="264">
        <f aca="true" t="shared" si="1" ref="D30:O30">SUM(D18:D29)</f>
        <v>1433884</v>
      </c>
      <c r="E30" s="264">
        <f t="shared" si="1"/>
        <v>0</v>
      </c>
      <c r="F30" s="264">
        <f t="shared" si="1"/>
        <v>125143</v>
      </c>
      <c r="G30" s="264">
        <f t="shared" si="1"/>
        <v>49029</v>
      </c>
      <c r="H30" s="264">
        <f t="shared" si="1"/>
        <v>0</v>
      </c>
      <c r="I30" s="264">
        <f t="shared" si="1"/>
        <v>0</v>
      </c>
      <c r="J30" s="264">
        <f t="shared" si="1"/>
        <v>174172</v>
      </c>
      <c r="K30" s="264">
        <f t="shared" si="1"/>
        <v>49029</v>
      </c>
      <c r="L30" s="264">
        <f t="shared" si="1"/>
        <v>0</v>
      </c>
      <c r="M30" s="264">
        <f t="shared" si="1"/>
        <v>0</v>
      </c>
      <c r="N30" s="264">
        <f t="shared" si="1"/>
        <v>0</v>
      </c>
      <c r="O30" s="264">
        <f t="shared" si="1"/>
        <v>0</v>
      </c>
    </row>
    <row r="32" spans="2:15" ht="12.75">
      <c r="B32" s="285" t="s">
        <v>231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</row>
    <row r="33" ht="11.25">
      <c r="J33" s="270"/>
    </row>
  </sheetData>
  <mergeCells count="8">
    <mergeCell ref="A16:O16"/>
    <mergeCell ref="A4:O4"/>
    <mergeCell ref="D6:E6"/>
    <mergeCell ref="J6:K6"/>
    <mergeCell ref="B14:B15"/>
    <mergeCell ref="D15:E15"/>
    <mergeCell ref="L15:M15"/>
    <mergeCell ref="N15:O15"/>
  </mergeCells>
  <printOptions/>
  <pageMargins left="0.16" right="0.18" top="0.22" bottom="0.18" header="0.22" footer="0.15"/>
  <pageSetup horizontalDpi="600" verticalDpi="600" orientation="landscape" paperSize="9" r:id="rId1"/>
  <headerFooter alignWithMargins="0">
    <oddHeader>&amp;L&amp;"Arial,Félkövér dőlt"&amp;11Vámospércs Város Önkormányzata&amp;R&amp;"Arial,Félkövér dőlt"&amp;11 3.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7:O23"/>
  <sheetViews>
    <sheetView workbookViewId="0" topLeftCell="A1">
      <selection activeCell="D24" sqref="D24"/>
    </sheetView>
  </sheetViews>
  <sheetFormatPr defaultColWidth="9.140625" defaultRowHeight="12.75"/>
  <cols>
    <col min="1" max="1" width="4.00390625" style="268" customWidth="1"/>
    <col min="2" max="2" width="34.421875" style="269" customWidth="1"/>
    <col min="3" max="3" width="6.57421875" style="173" customWidth="1"/>
    <col min="4" max="4" width="7.7109375" style="173" customWidth="1"/>
    <col min="5" max="5" width="2.421875" style="173" customWidth="1"/>
    <col min="6" max="6" width="9.421875" style="173" customWidth="1"/>
    <col min="7" max="7" width="8.28125" style="173" customWidth="1"/>
    <col min="8" max="8" width="6.8515625" style="173" customWidth="1"/>
    <col min="9" max="9" width="7.140625" style="173" customWidth="1"/>
    <col min="10" max="10" width="8.57421875" style="173" customWidth="1"/>
    <col min="11" max="11" width="8.28125" style="173" customWidth="1"/>
    <col min="12" max="12" width="8.00390625" style="173" customWidth="1"/>
    <col min="13" max="13" width="6.57421875" style="173" customWidth="1"/>
    <col min="14" max="14" width="6.7109375" style="173" customWidth="1"/>
    <col min="15" max="15" width="5.7109375" style="173" customWidth="1"/>
  </cols>
  <sheetData>
    <row r="7" spans="1:15" ht="12.75">
      <c r="A7" s="168"/>
      <c r="B7" s="169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1"/>
      <c r="N7" s="170"/>
      <c r="O7" s="171"/>
    </row>
    <row r="8" spans="1:15" ht="12.75">
      <c r="A8" s="581" t="s">
        <v>234</v>
      </c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</row>
    <row r="9" spans="1:15" ht="12.75">
      <c r="A9" s="174"/>
      <c r="B9" s="539"/>
      <c r="C9" s="170"/>
      <c r="D9" s="170"/>
      <c r="E9" s="170"/>
      <c r="F9" s="540"/>
      <c r="G9" s="540"/>
      <c r="H9" s="540"/>
      <c r="I9" s="540"/>
      <c r="J9" s="540"/>
      <c r="K9" s="170"/>
      <c r="L9" s="170"/>
      <c r="M9" s="171"/>
      <c r="N9" s="170"/>
      <c r="O9" s="177" t="s">
        <v>99</v>
      </c>
    </row>
    <row r="10" spans="1:15" ht="21.75">
      <c r="A10" s="541" t="s">
        <v>108</v>
      </c>
      <c r="B10" s="542" t="s">
        <v>109</v>
      </c>
      <c r="C10" s="543"/>
      <c r="D10" s="592" t="s">
        <v>110</v>
      </c>
      <c r="E10" s="592"/>
      <c r="F10" s="666" t="s">
        <v>111</v>
      </c>
      <c r="G10" s="667"/>
      <c r="H10" s="666" t="s">
        <v>112</v>
      </c>
      <c r="I10" s="667"/>
      <c r="J10" s="593" t="s">
        <v>113</v>
      </c>
      <c r="K10" s="594"/>
      <c r="L10" s="546" t="s">
        <v>114</v>
      </c>
      <c r="M10" s="546"/>
      <c r="N10" s="546" t="s">
        <v>115</v>
      </c>
      <c r="O10" s="546"/>
    </row>
    <row r="11" spans="1:15" ht="21">
      <c r="A11" s="541" t="s">
        <v>116</v>
      </c>
      <c r="B11" s="542"/>
      <c r="C11" s="543" t="s">
        <v>204</v>
      </c>
      <c r="D11" s="593" t="s">
        <v>235</v>
      </c>
      <c r="E11" s="597"/>
      <c r="F11" s="543" t="s">
        <v>118</v>
      </c>
      <c r="G11" s="543" t="s">
        <v>119</v>
      </c>
      <c r="H11" s="543" t="s">
        <v>118</v>
      </c>
      <c r="I11" s="543" t="s">
        <v>119</v>
      </c>
      <c r="J11" s="545" t="s">
        <v>239</v>
      </c>
      <c r="K11" s="543" t="s">
        <v>119</v>
      </c>
      <c r="L11" s="545" t="s">
        <v>118</v>
      </c>
      <c r="M11" s="544" t="s">
        <v>119</v>
      </c>
      <c r="N11" s="545" t="s">
        <v>118</v>
      </c>
      <c r="O11" s="547" t="s">
        <v>119</v>
      </c>
    </row>
    <row r="12" spans="1:15" ht="12.75">
      <c r="A12" s="541"/>
      <c r="B12" s="542" t="s">
        <v>209</v>
      </c>
      <c r="C12" s="543" t="s">
        <v>206</v>
      </c>
      <c r="D12" s="597"/>
      <c r="E12" s="597"/>
      <c r="F12" s="543" t="s">
        <v>120</v>
      </c>
      <c r="G12" s="543"/>
      <c r="H12" s="543" t="s">
        <v>120</v>
      </c>
      <c r="I12" s="543"/>
      <c r="J12" s="543" t="s">
        <v>240</v>
      </c>
      <c r="K12" s="543"/>
      <c r="L12" s="543" t="s">
        <v>120</v>
      </c>
      <c r="M12" s="543"/>
      <c r="N12" s="543" t="s">
        <v>120</v>
      </c>
      <c r="O12" s="542"/>
    </row>
    <row r="13" spans="1:15" ht="12.75">
      <c r="A13" s="548"/>
      <c r="B13" s="453" t="s">
        <v>211</v>
      </c>
      <c r="C13" s="255"/>
      <c r="D13" s="598"/>
      <c r="E13" s="598"/>
      <c r="F13" s="204"/>
      <c r="G13" s="205"/>
      <c r="H13" s="204"/>
      <c r="I13" s="206"/>
      <c r="J13" s="207"/>
      <c r="K13" s="207"/>
      <c r="L13" s="206"/>
      <c r="M13" s="206"/>
      <c r="N13" s="206"/>
      <c r="O13" s="206"/>
    </row>
    <row r="14" spans="1:15" s="452" customFormat="1" ht="18" customHeight="1">
      <c r="A14" s="548" t="s">
        <v>100</v>
      </c>
      <c r="B14" s="449" t="s">
        <v>229</v>
      </c>
      <c r="C14" s="240">
        <v>2008</v>
      </c>
      <c r="D14" s="599">
        <v>10598</v>
      </c>
      <c r="E14" s="600"/>
      <c r="F14" s="241">
        <f>10598-6147</f>
        <v>4451</v>
      </c>
      <c r="G14" s="241">
        <v>6147</v>
      </c>
      <c r="H14" s="450"/>
      <c r="I14" s="241"/>
      <c r="J14" s="451">
        <f>F14-H14+G14</f>
        <v>10598</v>
      </c>
      <c r="K14" s="207">
        <v>6147</v>
      </c>
      <c r="L14" s="206"/>
      <c r="M14" s="206"/>
      <c r="N14" s="206"/>
      <c r="O14" s="206"/>
    </row>
    <row r="15" spans="1:15" ht="18" customHeight="1">
      <c r="A15" s="548" t="s">
        <v>101</v>
      </c>
      <c r="B15" s="239" t="s">
        <v>66</v>
      </c>
      <c r="C15" s="240">
        <v>2009</v>
      </c>
      <c r="D15" s="599">
        <v>40000</v>
      </c>
      <c r="E15" s="601"/>
      <c r="F15" s="242">
        <v>4000</v>
      </c>
      <c r="G15" s="242"/>
      <c r="H15" s="243"/>
      <c r="I15" s="242"/>
      <c r="J15" s="244">
        <f>F15-H15+G15</f>
        <v>4000</v>
      </c>
      <c r="K15" s="207"/>
      <c r="L15" s="206"/>
      <c r="M15" s="206"/>
      <c r="N15" s="206"/>
      <c r="O15" s="206"/>
    </row>
    <row r="16" spans="1:15" ht="22.5">
      <c r="A16" s="548" t="s">
        <v>102</v>
      </c>
      <c r="B16" s="239" t="s">
        <v>67</v>
      </c>
      <c r="C16" s="240">
        <v>2008</v>
      </c>
      <c r="D16" s="599">
        <v>21277</v>
      </c>
      <c r="E16" s="601"/>
      <c r="F16" s="242">
        <v>1277</v>
      </c>
      <c r="G16" s="214"/>
      <c r="H16" s="213"/>
      <c r="I16" s="215"/>
      <c r="J16" s="244">
        <f>F16-H16+G16</f>
        <v>1277</v>
      </c>
      <c r="K16" s="216"/>
      <c r="L16" s="215"/>
      <c r="M16" s="215"/>
      <c r="N16" s="215"/>
      <c r="O16" s="215"/>
    </row>
    <row r="17" spans="1:15" ht="22.5">
      <c r="A17" s="548"/>
      <c r="B17" s="239" t="s">
        <v>68</v>
      </c>
      <c r="C17" s="240"/>
      <c r="D17" s="599"/>
      <c r="E17" s="601"/>
      <c r="F17" s="242">
        <v>-1040</v>
      </c>
      <c r="G17" s="214"/>
      <c r="H17" s="213"/>
      <c r="I17" s="215"/>
      <c r="J17" s="244">
        <f>F17-H17+G17</f>
        <v>-1040</v>
      </c>
      <c r="K17" s="216"/>
      <c r="L17" s="215"/>
      <c r="M17" s="215"/>
      <c r="N17" s="215"/>
      <c r="O17" s="215"/>
    </row>
    <row r="18" spans="1:15" s="452" customFormat="1" ht="22.5">
      <c r="A18" s="548"/>
      <c r="B18" s="239" t="s">
        <v>69</v>
      </c>
      <c r="C18" s="240"/>
      <c r="D18" s="599"/>
      <c r="E18" s="601"/>
      <c r="F18" s="241">
        <f>SUM(F16:F17)</f>
        <v>237</v>
      </c>
      <c r="G18" s="241">
        <f>SUM(G16:G17)</f>
        <v>0</v>
      </c>
      <c r="H18" s="241">
        <f>SUM(H16:H17)</f>
        <v>0</v>
      </c>
      <c r="I18" s="241">
        <f>SUM(I16:I17)</f>
        <v>0</v>
      </c>
      <c r="J18" s="244">
        <f>F18-H18+G18</f>
        <v>237</v>
      </c>
      <c r="K18" s="207"/>
      <c r="L18" s="206"/>
      <c r="M18" s="206"/>
      <c r="N18" s="206"/>
      <c r="O18" s="206"/>
    </row>
    <row r="19" spans="1:15" s="452" customFormat="1" ht="21">
      <c r="A19" s="548" t="s">
        <v>103</v>
      </c>
      <c r="B19" s="449" t="s">
        <v>24</v>
      </c>
      <c r="C19" s="240" t="s">
        <v>237</v>
      </c>
      <c r="D19" s="599">
        <v>20793</v>
      </c>
      <c r="E19" s="600"/>
      <c r="F19" s="241">
        <v>1040</v>
      </c>
      <c r="G19" s="205"/>
      <c r="H19" s="204"/>
      <c r="I19" s="206"/>
      <c r="J19" s="451">
        <v>1040</v>
      </c>
      <c r="K19" s="207"/>
      <c r="L19" s="206"/>
      <c r="M19" s="206"/>
      <c r="N19" s="206"/>
      <c r="O19" s="206"/>
    </row>
    <row r="20" spans="1:15" ht="12.75">
      <c r="A20" s="266"/>
      <c r="B20" s="265" t="s">
        <v>70</v>
      </c>
      <c r="C20" s="266"/>
      <c r="D20" s="595">
        <f>SUM(D14:E16)</f>
        <v>71875</v>
      </c>
      <c r="E20" s="596"/>
      <c r="F20" s="267">
        <f aca="true" t="shared" si="0" ref="F20:O20">SUM(F14:F16)</f>
        <v>9728</v>
      </c>
      <c r="G20" s="267">
        <f t="shared" si="0"/>
        <v>6147</v>
      </c>
      <c r="H20" s="267">
        <f t="shared" si="0"/>
        <v>0</v>
      </c>
      <c r="I20" s="267">
        <f t="shared" si="0"/>
        <v>0</v>
      </c>
      <c r="J20" s="267">
        <f t="shared" si="0"/>
        <v>15875</v>
      </c>
      <c r="K20" s="267">
        <f t="shared" si="0"/>
        <v>6147</v>
      </c>
      <c r="L20" s="267">
        <f t="shared" si="0"/>
        <v>0</v>
      </c>
      <c r="M20" s="267">
        <f t="shared" si="0"/>
        <v>0</v>
      </c>
      <c r="N20" s="267">
        <f t="shared" si="0"/>
        <v>0</v>
      </c>
      <c r="O20" s="267">
        <f t="shared" si="0"/>
        <v>0</v>
      </c>
    </row>
    <row r="21" spans="1:15" ht="12.75">
      <c r="A21" s="205"/>
      <c r="B21" s="265" t="s">
        <v>71</v>
      </c>
      <c r="C21" s="549"/>
      <c r="D21" s="599"/>
      <c r="E21" s="601"/>
      <c r="F21" s="551"/>
      <c r="G21" s="551"/>
      <c r="H21" s="551"/>
      <c r="I21" s="551"/>
      <c r="J21" s="551"/>
      <c r="K21" s="551"/>
      <c r="L21" s="551"/>
      <c r="M21" s="551"/>
      <c r="N21" s="551"/>
      <c r="O21" s="551"/>
    </row>
    <row r="22" spans="1:15" ht="12.75">
      <c r="A22" s="205"/>
      <c r="B22" s="265" t="s">
        <v>72</v>
      </c>
      <c r="C22" s="550"/>
      <c r="D22" s="599">
        <f>SUM(D18,D19)</f>
        <v>20793</v>
      </c>
      <c r="E22" s="601"/>
      <c r="F22" s="552">
        <f aca="true" t="shared" si="1" ref="F22:K22">SUM(F17,F19)</f>
        <v>0</v>
      </c>
      <c r="G22" s="552">
        <f t="shared" si="1"/>
        <v>0</v>
      </c>
      <c r="H22" s="552">
        <f t="shared" si="1"/>
        <v>0</v>
      </c>
      <c r="I22" s="552">
        <f t="shared" si="1"/>
        <v>0</v>
      </c>
      <c r="J22" s="552">
        <f t="shared" si="1"/>
        <v>0</v>
      </c>
      <c r="K22" s="552">
        <f t="shared" si="1"/>
        <v>0</v>
      </c>
      <c r="L22" s="551"/>
      <c r="M22" s="551"/>
      <c r="N22" s="551"/>
      <c r="O22" s="551"/>
    </row>
    <row r="23" spans="1:15" ht="12.75">
      <c r="A23" s="205"/>
      <c r="B23" s="265" t="s">
        <v>73</v>
      </c>
      <c r="C23" s="549"/>
      <c r="D23" s="599">
        <f>SUM(D20:E22)</f>
        <v>92668</v>
      </c>
      <c r="E23" s="601"/>
      <c r="F23" s="552">
        <f aca="true" t="shared" si="2" ref="F23:K23">SUM(F14,F15,F18,F19)</f>
        <v>9728</v>
      </c>
      <c r="G23" s="552">
        <f t="shared" si="2"/>
        <v>6147</v>
      </c>
      <c r="H23" s="552">
        <f t="shared" si="2"/>
        <v>0</v>
      </c>
      <c r="I23" s="552">
        <f t="shared" si="2"/>
        <v>0</v>
      </c>
      <c r="J23" s="552">
        <f t="shared" si="2"/>
        <v>15875</v>
      </c>
      <c r="K23" s="552">
        <f t="shared" si="2"/>
        <v>6147</v>
      </c>
      <c r="L23" s="551"/>
      <c r="M23" s="551"/>
      <c r="N23" s="551"/>
      <c r="O23" s="551"/>
    </row>
  </sheetData>
  <mergeCells count="17">
    <mergeCell ref="F10:G10"/>
    <mergeCell ref="H10:I10"/>
    <mergeCell ref="D23:E23"/>
    <mergeCell ref="D17:E17"/>
    <mergeCell ref="D18:E18"/>
    <mergeCell ref="D21:E21"/>
    <mergeCell ref="D22:E22"/>
    <mergeCell ref="A8:O8"/>
    <mergeCell ref="D10:E10"/>
    <mergeCell ref="J10:K10"/>
    <mergeCell ref="D20:E20"/>
    <mergeCell ref="D11:E12"/>
    <mergeCell ref="D13:E13"/>
    <mergeCell ref="D14:E14"/>
    <mergeCell ref="D16:E16"/>
    <mergeCell ref="D15:E15"/>
    <mergeCell ref="D19:E19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&amp;L&amp;"Arial,Dőlt"Vámospércs Városi Önkormányzat&amp;R&amp;"Arial,Dőlt"4.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I17" sqref="I17"/>
    </sheetView>
  </sheetViews>
  <sheetFormatPr defaultColWidth="9.140625" defaultRowHeight="12.75"/>
  <cols>
    <col min="1" max="1" width="3.57421875" style="92" customWidth="1"/>
    <col min="2" max="2" width="24.140625" style="22" customWidth="1"/>
    <col min="3" max="3" width="6.57421875" style="21" customWidth="1"/>
    <col min="4" max="4" width="10.7109375" style="21" customWidth="1"/>
    <col min="5" max="5" width="7.140625" style="21" customWidth="1"/>
    <col min="6" max="6" width="8.421875" style="21" customWidth="1"/>
    <col min="7" max="7" width="11.421875" style="21" customWidth="1"/>
    <col min="8" max="8" width="7.8515625" style="21" customWidth="1"/>
    <col min="9" max="9" width="8.421875" style="21" customWidth="1"/>
    <col min="10" max="10" width="11.7109375" style="21" customWidth="1"/>
    <col min="11" max="11" width="7.57421875" style="21" customWidth="1"/>
    <col min="12" max="12" width="8.421875" style="21" customWidth="1"/>
    <col min="13" max="13" width="14.140625" style="21" customWidth="1"/>
  </cols>
  <sheetData>
    <row r="1" spans="1:13" ht="12.75">
      <c r="A1" s="606" t="s">
        <v>199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thickBot="1">
      <c r="A3" s="85"/>
      <c r="B3" s="4"/>
      <c r="C3" s="2"/>
      <c r="D3" s="2"/>
      <c r="E3" s="5"/>
      <c r="F3" s="5"/>
      <c r="G3" s="5"/>
      <c r="H3" s="5"/>
      <c r="I3" s="5"/>
      <c r="J3" s="5"/>
      <c r="K3" s="5"/>
      <c r="L3" s="2"/>
      <c r="M3" s="84" t="s">
        <v>99</v>
      </c>
    </row>
    <row r="4" spans="1:13" ht="12.75">
      <c r="A4" s="86" t="s">
        <v>108</v>
      </c>
      <c r="B4" s="607" t="s">
        <v>200</v>
      </c>
      <c r="C4" s="74"/>
      <c r="D4" s="610" t="s">
        <v>201</v>
      </c>
      <c r="E4" s="75" t="s">
        <v>202</v>
      </c>
      <c r="F4" s="76"/>
      <c r="G4" s="76"/>
      <c r="H4" s="613" t="s">
        <v>203</v>
      </c>
      <c r="I4" s="614"/>
      <c r="J4" s="615"/>
      <c r="K4" s="616" t="s">
        <v>113</v>
      </c>
      <c r="L4" s="617"/>
      <c r="M4" s="618"/>
    </row>
    <row r="5" spans="1:13" ht="12.75">
      <c r="A5" s="87" t="s">
        <v>116</v>
      </c>
      <c r="B5" s="608"/>
      <c r="C5" s="77" t="s">
        <v>204</v>
      </c>
      <c r="D5" s="611"/>
      <c r="E5" s="78" t="s">
        <v>118</v>
      </c>
      <c r="F5" s="619" t="s">
        <v>205</v>
      </c>
      <c r="G5" s="597"/>
      <c r="H5" s="77" t="s">
        <v>118</v>
      </c>
      <c r="I5" s="619" t="s">
        <v>119</v>
      </c>
      <c r="J5" s="597"/>
      <c r="K5" s="79" t="s">
        <v>118</v>
      </c>
      <c r="L5" s="619" t="s">
        <v>119</v>
      </c>
      <c r="M5" s="620"/>
    </row>
    <row r="6" spans="1:13" ht="13.5" thickBot="1">
      <c r="A6" s="88"/>
      <c r="B6" s="609"/>
      <c r="C6" s="80" t="s">
        <v>206</v>
      </c>
      <c r="D6" s="612"/>
      <c r="E6" s="81" t="s">
        <v>120</v>
      </c>
      <c r="F6" s="81" t="s">
        <v>207</v>
      </c>
      <c r="G6" s="81" t="s">
        <v>208</v>
      </c>
      <c r="H6" s="81" t="s">
        <v>120</v>
      </c>
      <c r="I6" s="81" t="s">
        <v>207</v>
      </c>
      <c r="J6" s="81" t="s">
        <v>208</v>
      </c>
      <c r="K6" s="81" t="s">
        <v>120</v>
      </c>
      <c r="L6" s="81" t="s">
        <v>207</v>
      </c>
      <c r="M6" s="165" t="s">
        <v>208</v>
      </c>
    </row>
    <row r="7" spans="1:13" ht="13.5" thickBot="1">
      <c r="A7" s="89" t="s">
        <v>88</v>
      </c>
      <c r="B7" s="7" t="s">
        <v>121</v>
      </c>
      <c r="C7" s="83"/>
      <c r="D7" s="8"/>
      <c r="E7" s="8"/>
      <c r="F7" s="81" t="s">
        <v>207</v>
      </c>
      <c r="G7" s="81" t="s">
        <v>208</v>
      </c>
      <c r="H7" s="8"/>
      <c r="I7" s="9"/>
      <c r="J7" s="9"/>
      <c r="K7" s="10"/>
      <c r="L7" s="10"/>
      <c r="M7" s="10"/>
    </row>
    <row r="8" spans="1:13" ht="38.25">
      <c r="A8" s="126" t="s">
        <v>100</v>
      </c>
      <c r="B8" s="93" t="s">
        <v>87</v>
      </c>
      <c r="C8" s="94"/>
      <c r="D8" s="17"/>
      <c r="E8" s="17"/>
      <c r="F8" s="18"/>
      <c r="G8" s="18"/>
      <c r="H8" s="17"/>
      <c r="I8" s="19"/>
      <c r="J8" s="19"/>
      <c r="K8" s="102"/>
      <c r="L8" s="102"/>
      <c r="M8" s="102"/>
    </row>
    <row r="9" spans="1:13" ht="51">
      <c r="A9" s="127"/>
      <c r="B9" s="95" t="s">
        <v>122</v>
      </c>
      <c r="C9" s="18">
        <v>2009</v>
      </c>
      <c r="D9" s="13"/>
      <c r="E9" s="14">
        <v>1515</v>
      </c>
      <c r="F9" s="12"/>
      <c r="G9" s="12"/>
      <c r="H9" s="14"/>
      <c r="I9" s="15"/>
      <c r="J9" s="15"/>
      <c r="K9" s="103">
        <v>1515</v>
      </c>
      <c r="L9" s="103"/>
      <c r="M9" s="103"/>
    </row>
    <row r="10" spans="1:13" ht="12.75">
      <c r="A10" s="126" t="s">
        <v>101</v>
      </c>
      <c r="B10" s="93" t="s">
        <v>123</v>
      </c>
      <c r="C10" s="94"/>
      <c r="D10" s="96"/>
      <c r="E10" s="17"/>
      <c r="F10" s="18"/>
      <c r="G10" s="18"/>
      <c r="H10" s="17"/>
      <c r="I10" s="19"/>
      <c r="J10" s="19"/>
      <c r="K10" s="102"/>
      <c r="L10" s="102"/>
      <c r="M10" s="102"/>
    </row>
    <row r="11" spans="1:13" ht="26.25" thickBot="1">
      <c r="A11" s="128"/>
      <c r="B11" s="98" t="s">
        <v>124</v>
      </c>
      <c r="C11" s="99">
        <v>2009</v>
      </c>
      <c r="D11" s="16"/>
      <c r="E11" s="14">
        <v>15000</v>
      </c>
      <c r="F11" s="18"/>
      <c r="G11" s="18"/>
      <c r="H11" s="17"/>
      <c r="I11" s="19"/>
      <c r="J11" s="19"/>
      <c r="K11" s="103">
        <v>15000</v>
      </c>
      <c r="L11" s="102"/>
      <c r="M11" s="102"/>
    </row>
    <row r="12" spans="1:13" ht="12.75">
      <c r="A12" s="90"/>
      <c r="B12" s="602" t="s">
        <v>125</v>
      </c>
      <c r="C12" s="100"/>
      <c r="D12" s="97">
        <f>SUM(D7:D11)</f>
        <v>0</v>
      </c>
      <c r="E12" s="82">
        <f>SUM(E8:E11)</f>
        <v>16515</v>
      </c>
      <c r="F12" s="82">
        <v>0</v>
      </c>
      <c r="G12" s="82"/>
      <c r="H12" s="82">
        <v>0</v>
      </c>
      <c r="I12" s="82">
        <v>0</v>
      </c>
      <c r="J12" s="82"/>
      <c r="K12" s="82">
        <f>SUM(K9:K11)</f>
        <v>16515</v>
      </c>
      <c r="L12" s="82">
        <v>0</v>
      </c>
      <c r="M12" s="82"/>
    </row>
    <row r="13" spans="1:13" ht="13.5" thickBot="1">
      <c r="A13" s="91"/>
      <c r="B13" s="603"/>
      <c r="C13" s="101"/>
      <c r="D13" s="164" t="e">
        <f>D12+#REF!</f>
        <v>#REF!</v>
      </c>
      <c r="E13" s="289">
        <f>E12+F12</f>
        <v>16515</v>
      </c>
      <c r="F13" s="289"/>
      <c r="G13" s="289"/>
      <c r="H13" s="289">
        <f>H12+I12</f>
        <v>0</v>
      </c>
      <c r="I13" s="289"/>
      <c r="J13" s="289"/>
      <c r="K13" s="289">
        <f>K12+L12</f>
        <v>16515</v>
      </c>
      <c r="L13" s="289"/>
      <c r="M13" s="289"/>
    </row>
    <row r="14" spans="1:13" ht="51.75" thickBot="1">
      <c r="A14" s="283" t="s">
        <v>100</v>
      </c>
      <c r="B14" s="286" t="s">
        <v>225</v>
      </c>
      <c r="C14" s="240">
        <v>2008</v>
      </c>
      <c r="D14" s="241">
        <v>21000</v>
      </c>
      <c r="E14" s="290">
        <v>1050</v>
      </c>
      <c r="F14" s="290"/>
      <c r="G14" s="290"/>
      <c r="H14" s="290"/>
      <c r="I14" s="290"/>
      <c r="J14" s="290"/>
      <c r="K14" s="290"/>
      <c r="L14" s="290"/>
      <c r="M14" s="290"/>
    </row>
    <row r="15" spans="1:13" ht="26.25" thickBot="1">
      <c r="A15" s="283" t="s">
        <v>101</v>
      </c>
      <c r="B15" s="287" t="s">
        <v>226</v>
      </c>
      <c r="C15" s="240">
        <v>2008</v>
      </c>
      <c r="D15" s="241">
        <v>195600</v>
      </c>
      <c r="E15" s="290">
        <v>95600</v>
      </c>
      <c r="F15" s="290"/>
      <c r="G15" s="290"/>
      <c r="H15" s="290"/>
      <c r="I15" s="290"/>
      <c r="J15" s="290"/>
      <c r="K15" s="290"/>
      <c r="L15" s="290"/>
      <c r="M15" s="290"/>
    </row>
    <row r="16" spans="1:13" ht="26.25" thickBot="1">
      <c r="A16" s="283" t="s">
        <v>102</v>
      </c>
      <c r="B16" s="288" t="s">
        <v>227</v>
      </c>
      <c r="C16" s="240">
        <v>2008</v>
      </c>
      <c r="D16" s="247">
        <v>63249</v>
      </c>
      <c r="E16" s="290">
        <v>9487</v>
      </c>
      <c r="F16" s="290"/>
      <c r="G16" s="290"/>
      <c r="H16" s="290"/>
      <c r="I16" s="290"/>
      <c r="J16" s="290"/>
      <c r="K16" s="290"/>
      <c r="L16" s="290"/>
      <c r="M16" s="290"/>
    </row>
    <row r="17" spans="1:13" ht="51.75" thickBot="1">
      <c r="A17" s="283" t="s">
        <v>103</v>
      </c>
      <c r="B17" s="286" t="s">
        <v>228</v>
      </c>
      <c r="C17" s="240">
        <v>2008</v>
      </c>
      <c r="D17" s="241">
        <v>56107</v>
      </c>
      <c r="E17" s="290">
        <v>7078</v>
      </c>
      <c r="F17" s="290"/>
      <c r="G17" s="290"/>
      <c r="H17" s="290"/>
      <c r="I17" s="290"/>
      <c r="J17" s="290"/>
      <c r="K17" s="290"/>
      <c r="L17" s="290"/>
      <c r="M17" s="290"/>
    </row>
    <row r="18" spans="1:13" ht="41.25">
      <c r="A18" s="283" t="s">
        <v>146</v>
      </c>
      <c r="B18" s="286" t="s">
        <v>86</v>
      </c>
      <c r="C18" s="240">
        <v>2008</v>
      </c>
      <c r="D18" s="241">
        <v>1052000</v>
      </c>
      <c r="E18" s="290"/>
      <c r="F18" s="290"/>
      <c r="G18" s="290"/>
      <c r="H18" s="290"/>
      <c r="I18" s="290"/>
      <c r="J18" s="290"/>
      <c r="K18" s="290"/>
      <c r="L18" s="290"/>
      <c r="M18" s="290"/>
    </row>
    <row r="19" spans="1:13" ht="13.5" thickBot="1">
      <c r="A19" s="166"/>
      <c r="B19" s="604" t="s">
        <v>107</v>
      </c>
      <c r="C19" s="605"/>
      <c r="D19" s="167">
        <f>SUM(D14:D18)</f>
        <v>1387956</v>
      </c>
      <c r="E19" s="167">
        <f aca="true" t="shared" si="0" ref="E19:M19">SUM(E14:E18)</f>
        <v>113215</v>
      </c>
      <c r="F19" s="167">
        <f t="shared" si="0"/>
        <v>0</v>
      </c>
      <c r="G19" s="167">
        <f t="shared" si="0"/>
        <v>0</v>
      </c>
      <c r="H19" s="167">
        <f t="shared" si="0"/>
        <v>0</v>
      </c>
      <c r="I19" s="167">
        <f t="shared" si="0"/>
        <v>0</v>
      </c>
      <c r="J19" s="167">
        <f t="shared" si="0"/>
        <v>0</v>
      </c>
      <c r="K19" s="167">
        <f t="shared" si="0"/>
        <v>0</v>
      </c>
      <c r="L19" s="167">
        <f t="shared" si="0"/>
        <v>0</v>
      </c>
      <c r="M19" s="167">
        <f t="shared" si="0"/>
        <v>0</v>
      </c>
    </row>
    <row r="21" ht="12.75">
      <c r="G21" s="448"/>
    </row>
  </sheetData>
  <mergeCells count="10">
    <mergeCell ref="B12:B13"/>
    <mergeCell ref="B19:C19"/>
    <mergeCell ref="A1:M1"/>
    <mergeCell ref="B4:B6"/>
    <mergeCell ref="D4:D6"/>
    <mergeCell ref="H4:J4"/>
    <mergeCell ref="K4:M4"/>
    <mergeCell ref="F5:G5"/>
    <mergeCell ref="I5:J5"/>
    <mergeCell ref="L5:M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Hajdúsámson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rendelet, rendeletek, 2009</dc:title>
  <dc:subject/>
  <dc:creator>Polgármesteri Hivatal Hajdúsámson</dc:creator>
  <cp:keywords/>
  <dc:description/>
  <cp:lastModifiedBy>User</cp:lastModifiedBy>
  <cp:lastPrinted>2009-07-06T11:03:29Z</cp:lastPrinted>
  <dcterms:created xsi:type="dcterms:W3CDTF">2009-01-08T14:34:47Z</dcterms:created>
  <dcterms:modified xsi:type="dcterms:W3CDTF">2009-07-06T13:25:17Z</dcterms:modified>
  <cp:category/>
  <cp:version/>
  <cp:contentType/>
  <cp:contentStatus/>
</cp:coreProperties>
</file>