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0"/>
  </bookViews>
  <sheets>
    <sheet name="Tartalomjegyzék" sheetId="1" r:id="rId1"/>
    <sheet name="Címrend" sheetId="2" r:id="rId2"/>
    <sheet name="2. sz m éves tény" sheetId="3" r:id="rId3"/>
    <sheet name="3. szám melléklet" sheetId="4" r:id="rId4"/>
    <sheet name="4. számú melléklet" sheetId="5" r:id="rId5"/>
    <sheet name="5. számú melléklet" sheetId="6" r:id="rId6"/>
    <sheet name="6. számú melléklet" sheetId="7" r:id="rId7"/>
    <sheet name="7. számú melléklet" sheetId="8" r:id="rId8"/>
    <sheet name="8. számú melléklet" sheetId="9" r:id="rId9"/>
    <sheet name="9. számú melléklet" sheetId="10" r:id="rId10"/>
    <sheet name="10. számú melléklet" sheetId="11" r:id="rId11"/>
    <sheet name="11. számú melléklet" sheetId="12" r:id="rId12"/>
    <sheet name="12. számú melléklet" sheetId="13" r:id="rId13"/>
    <sheet name="13. számú melléklet" sheetId="14" r:id="rId14"/>
    <sheet name="14. számú melléklet" sheetId="15" r:id="rId15"/>
    <sheet name="1. számú tájékoztató tábla" sheetId="16" r:id="rId16"/>
    <sheet name="2. számú tájékoztató tábla" sheetId="17" r:id="rId17"/>
    <sheet name="3. számú tájékoztató tábla" sheetId="18" r:id="rId18"/>
    <sheet name="4. számú tájékoztató tábla" sheetId="19" r:id="rId19"/>
    <sheet name="5. számú tájékoztató tábla" sheetId="20" r:id="rId20"/>
  </sheets>
  <externalReferences>
    <externalReference r:id="rId23"/>
    <externalReference r:id="rId24"/>
    <externalReference r:id="rId25"/>
  </externalReferences>
  <definedNames>
    <definedName name="_xlnm.Print_Area" localSheetId="15">'1. számú tájékoztató tábla'!$A$1:$L$30</definedName>
    <definedName name="_xlnm.Print_Area" localSheetId="13">'13. számú melléklet'!$A$1:$G$31</definedName>
    <definedName name="_xlnm.Print_Area" localSheetId="2">'2. sz m éves tény'!$A$1:$L$421</definedName>
    <definedName name="aaaaa">#REF!</definedName>
    <definedName name="aaaaaa">#REF!</definedName>
    <definedName name="Excel_BuiltIn_Database_8">#REF!</definedName>
    <definedName name="Excel_BuiltIn_Database">#REF!</definedName>
    <definedName name="ADATBÁZIS_MÉ_8">#REF!</definedName>
    <definedName name="ADATBÁZIS_MÉ">#REF!</definedName>
    <definedName name="f_8">#REF!</definedName>
    <definedName name="f">#REF!</definedName>
    <definedName name="Excel_BuiltIn_Extract">#REF!</definedName>
    <definedName name="KIGYŰJTÉS_MÉ">#REF!</definedName>
    <definedName name="kk">#REF!</definedName>
    <definedName name="KRITÉRIUM_MÉ">#REF!</definedName>
    <definedName name="Excel_BuiltIn_Criteria">#REF!</definedName>
  </definedNames>
  <calcPr fullCalcOnLoad="1"/>
</workbook>
</file>

<file path=xl/sharedStrings.xml><?xml version="1.0" encoding="utf-8"?>
<sst xmlns="http://schemas.openxmlformats.org/spreadsheetml/2006/main" count="2635" uniqueCount="904">
  <si>
    <t>Tartalomjegyzék</t>
  </si>
  <si>
    <t>1.</t>
  </si>
  <si>
    <t>Címrend</t>
  </si>
  <si>
    <t>2.</t>
  </si>
  <si>
    <t>Vámospércs Városi Önkormányzat és CKÖ 2009. évre tervezett bevételeinek és kiadásainak mérlege</t>
  </si>
  <si>
    <t>3.</t>
  </si>
  <si>
    <t>Az Önkormányzat 2009. évi beruházási kiadásai feladatonként</t>
  </si>
  <si>
    <t>4.</t>
  </si>
  <si>
    <t>Az önkormányzat 2009. évi tervezett felújítási kiadásai célonként</t>
  </si>
  <si>
    <t>5.</t>
  </si>
  <si>
    <t>Kimutatás az Európai Uniós forrásból megvalósuló projektekről</t>
  </si>
  <si>
    <t>6.</t>
  </si>
  <si>
    <t>2009. évi normatív hozzájárulások elszámolása és a mutatószámok, feladatmutatók alakulása</t>
  </si>
  <si>
    <t>7.</t>
  </si>
  <si>
    <t>Az Önkormányzat és intézményei 2009. évi költségvetési létszámkerete</t>
  </si>
  <si>
    <t>8.</t>
  </si>
  <si>
    <t>Kimutatás a Polgármesteri Hivatal működési kiadásairól szakfeladatonkénti bontásban 2009. év</t>
  </si>
  <si>
    <t>9.</t>
  </si>
  <si>
    <t>Kimutatás a Polgármesteri Hivatal működési bevételeiről szakfeladatonkénti bontásban 2009. év</t>
  </si>
  <si>
    <t>10.</t>
  </si>
  <si>
    <t>Több éves kihatással járó kötelezettségek</t>
  </si>
  <si>
    <t>11.</t>
  </si>
  <si>
    <t>Az önkormányzat által nyújtott közvetett támogatások 2009. évben</t>
  </si>
  <si>
    <t>12.</t>
  </si>
  <si>
    <t>Az önkormányzat 2009. évi költségvetésében biztosított tartalékok kimutatása</t>
  </si>
  <si>
    <t>13.</t>
  </si>
  <si>
    <t>2009. évi pénzmaradvány elszámolás kimutatása</t>
  </si>
  <si>
    <t>14.</t>
  </si>
  <si>
    <t>Könyvviteli mérleg 2009.</t>
  </si>
  <si>
    <t>Fejezet</t>
  </si>
  <si>
    <t>Cím</t>
  </si>
  <si>
    <t>Megnevezés</t>
  </si>
  <si>
    <t>Vámospércs Városi Önkormányzat</t>
  </si>
  <si>
    <t>Vámospércs Polgármesteri Hivatal</t>
  </si>
  <si>
    <t>Mátyás Király Általános és AMI</t>
  </si>
  <si>
    <t>Óvoda Vámospércs</t>
  </si>
  <si>
    <t>Szociális Szolgáltató Központ</t>
  </si>
  <si>
    <t>Mikrotérségi Családsegítő- és Gyermekjóléti Intézményfenntartó Társulás</t>
  </si>
  <si>
    <t>Művelődési Ház és Könyvtár</t>
  </si>
  <si>
    <t>Intézményi Konyhák Vámospércs</t>
  </si>
  <si>
    <t xml:space="preserve">Dél-Nyírség Határmenti Terület és Telep.fejl.Társ. </t>
  </si>
  <si>
    <t>Vámospércs Cigány Kisebbségi Önkormányzat</t>
  </si>
  <si>
    <t>Fejezet: 1+2</t>
  </si>
  <si>
    <t>2. számú melléklet</t>
  </si>
  <si>
    <t>Sor-szám</t>
  </si>
  <si>
    <t>Bevételek</t>
  </si>
  <si>
    <t>2009. évi terv</t>
  </si>
  <si>
    <t xml:space="preserve">Mód. előir. </t>
  </si>
  <si>
    <t>Teljesítés 2009.év</t>
  </si>
  <si>
    <t>Tény/Mód.ei. %</t>
  </si>
  <si>
    <t xml:space="preserve">Kiadások  </t>
  </si>
  <si>
    <t>I.</t>
  </si>
  <si>
    <t>Működési bevételek</t>
  </si>
  <si>
    <t>Működési kiadások</t>
  </si>
  <si>
    <t>Intézményi bevételek</t>
  </si>
  <si>
    <t>Személyi juttatás</t>
  </si>
  <si>
    <t>Önk. sajátos  műk.bevételek</t>
  </si>
  <si>
    <t>II</t>
  </si>
  <si>
    <t>Munkaadókat terhelő járulékok</t>
  </si>
  <si>
    <t xml:space="preserve"> 2.2.</t>
  </si>
  <si>
    <t xml:space="preserve"> - helyi adók</t>
  </si>
  <si>
    <t>III.</t>
  </si>
  <si>
    <t>Dologi jellegű kiadások</t>
  </si>
  <si>
    <t xml:space="preserve"> 2.3.</t>
  </si>
  <si>
    <t xml:space="preserve"> - Átengedett központi adók</t>
  </si>
  <si>
    <t>V.</t>
  </si>
  <si>
    <t>Speciális ellátások, támogatások</t>
  </si>
  <si>
    <t xml:space="preserve"> 2.4.</t>
  </si>
  <si>
    <t xml:space="preserve"> - Bírságok, pótlékok, egyéb sajátos b.</t>
  </si>
  <si>
    <t>Támogatásértékű kiadások</t>
  </si>
  <si>
    <t>II.</t>
  </si>
  <si>
    <t>Támogatások</t>
  </si>
  <si>
    <t>Véglegesen átadott péneszközök (műk-i)</t>
  </si>
  <si>
    <t>Önk. költségvetési támogatása</t>
  </si>
  <si>
    <t>Társadalom és szoc. pol. jutt.</t>
  </si>
  <si>
    <t xml:space="preserve"> 1.1.</t>
  </si>
  <si>
    <t xml:space="preserve"> - normatív hozzájárulások</t>
  </si>
  <si>
    <t>Pénzbeli kártérítés</t>
  </si>
  <si>
    <t xml:space="preserve"> 1.2.</t>
  </si>
  <si>
    <t xml:space="preserve"> - központosított tám., ÖNHIKI</t>
  </si>
  <si>
    <t>Ellátottak egyéb pénzbeli juttatása</t>
  </si>
  <si>
    <t xml:space="preserve"> 1.4.</t>
  </si>
  <si>
    <t xml:space="preserve"> - normatív kötött felhasználású támog.</t>
  </si>
  <si>
    <t>IV.1.</t>
  </si>
  <si>
    <t>Támogatásértékű bevétel (működési)</t>
  </si>
  <si>
    <t>VII.</t>
  </si>
  <si>
    <t>Hitelek nyújtása, törlesztése (műk-i)</t>
  </si>
  <si>
    <t>V. 1.</t>
  </si>
  <si>
    <t>Véglegesen átvett pénzeszközök (műk-i)</t>
  </si>
  <si>
    <t>VIII.</t>
  </si>
  <si>
    <t>Pénzforgalom nélküli kiadások</t>
  </si>
  <si>
    <t>Előző évi visszatérülések</t>
  </si>
  <si>
    <t>céltartalék</t>
  </si>
  <si>
    <t>VII</t>
  </si>
  <si>
    <t>Hitelek (működési célú)</t>
  </si>
  <si>
    <t>általános tartalék</t>
  </si>
  <si>
    <t>Előző évi pénzmaradvány igénybevétele</t>
  </si>
  <si>
    <t>Működési bevételek összesen:</t>
  </si>
  <si>
    <t>Közvetlen működési kiadások összesen:</t>
  </si>
  <si>
    <t>Működési hiány</t>
  </si>
  <si>
    <t>Felosztott általános kiadások</t>
  </si>
  <si>
    <t>Felhalmozási bevételek</t>
  </si>
  <si>
    <t>Működési kiadások összesen:</t>
  </si>
  <si>
    <t>I.1.</t>
  </si>
  <si>
    <t>Intézményi bevételekből felh.-i célú</t>
  </si>
  <si>
    <t>Működési többlet</t>
  </si>
  <si>
    <t>I.2.2.</t>
  </si>
  <si>
    <t>Helyi adókból felhalmozási célú</t>
  </si>
  <si>
    <t>Felhalmozási kiadások</t>
  </si>
  <si>
    <t>II.1.1.</t>
  </si>
  <si>
    <t>Normatív hozzájár.-ból felh.-i célú</t>
  </si>
  <si>
    <t>Dologi jellegű kiadásokból felhalm-i</t>
  </si>
  <si>
    <t>II.1.5.</t>
  </si>
  <si>
    <t>Fejlesztési célú támogatások</t>
  </si>
  <si>
    <t>Felhalmozási és tőkejellegű bevételek</t>
  </si>
  <si>
    <t>Tárgyi eszközök, immat.j. értékesítése</t>
  </si>
  <si>
    <t>Véglegesen átadott péneszközök (felh-i)</t>
  </si>
  <si>
    <t>Önk.-ok sajátos felh-i és tőkebevételei</t>
  </si>
  <si>
    <t>VI.</t>
  </si>
  <si>
    <t>Felhalmozási kiadás és pü. befekt.</t>
  </si>
  <si>
    <t>Pénzügyi befektetések bevételei</t>
  </si>
  <si>
    <t>Felújítás</t>
  </si>
  <si>
    <t>IV.2.</t>
  </si>
  <si>
    <t>Támogatásértékű bevétel (felhalmozási)</t>
  </si>
  <si>
    <t>Beruházás</t>
  </si>
  <si>
    <t>V. 2.</t>
  </si>
  <si>
    <t>Véglegesen átvett pénzeszközök (felh-i)</t>
  </si>
  <si>
    <t>Pénzügyi befektetések kiadásai</t>
  </si>
  <si>
    <t>T.kölcsön visszatér., ért.papír kibocs.bev.</t>
  </si>
  <si>
    <t>Hitelek (felhalmozási célú)</t>
  </si>
  <si>
    <t>Felhalmozási bevételek összesen:</t>
  </si>
  <si>
    <t>Felhalmozási kiadások összesen:</t>
  </si>
  <si>
    <t>Önk. és CKÖ bevétel összesen</t>
  </si>
  <si>
    <t>Önk. és CKÖ kiadás összesen</t>
  </si>
  <si>
    <t>Felhalmozási hiány</t>
  </si>
  <si>
    <t>Felhalmozási többlet</t>
  </si>
  <si>
    <t>Összes hiány</t>
  </si>
  <si>
    <t>Összes többlet</t>
  </si>
  <si>
    <t xml:space="preserve"> BEVÉTELEK ÖSSZESEN:</t>
  </si>
  <si>
    <t xml:space="preserve"> KIADÁSOK ÖSSZESEN:</t>
  </si>
  <si>
    <t>Vámospércs  Cigány Kisebbségi Önkormányzat 2009. évre tervezett bevételeinek és kiadásainak mérlege</t>
  </si>
  <si>
    <t>Fejezet: 2</t>
  </si>
  <si>
    <t>25.</t>
  </si>
  <si>
    <t>26.</t>
  </si>
  <si>
    <t>27.</t>
  </si>
  <si>
    <t>Vp. Cigány Kisebbségi Önk. Össz.</t>
  </si>
  <si>
    <t>29.</t>
  </si>
  <si>
    <t>Vámospércs Városi Önkormányzat és intézményei 2009. évre tervezett bevételeinek és kiadásainak mérlege</t>
  </si>
  <si>
    <t>Fejezet: 1</t>
  </si>
  <si>
    <t>ÖNK.-I BEVÉTELEK ÖSSZESEN:</t>
  </si>
  <si>
    <t>ÖNK-I KIADÁSOK ÖSSZESEN:</t>
  </si>
  <si>
    <t>Vámospércs Polgármesteri Hivatal 2009. évre tervezett bevételeinek és kiadásainak mérlege</t>
  </si>
  <si>
    <t>Helyi adókból és áteng. felhalm. célú</t>
  </si>
  <si>
    <t>Polgármesteri Hivatal összesen</t>
  </si>
  <si>
    <t>Vámospércs-Újléta Közoktatási Intézményfenntartó Társulás (Iskola) 2009. évre tervezett bevételeinek és kiadásainak mérlege</t>
  </si>
  <si>
    <t xml:space="preserve"> - központosított előirányzatok</t>
  </si>
  <si>
    <t>ebből: OEP finanszírozás</t>
  </si>
  <si>
    <t>Vp-Újl. Közokt.Int. Társ. Iskola össz.</t>
  </si>
  <si>
    <t>Vámospércs-Újléta Közoktatási Intézményfenntartó Társulás (Óvoda) 2009. évre tervezett bevételeinek és kiadásainak mérlege</t>
  </si>
  <si>
    <t>Vp-Újl. Közokt.Int. Társ. Óvoda össz.</t>
  </si>
  <si>
    <t>Szociális Szolgáltató Központ 2009. évre tervezett bevételeinek és kiadásainak mérlege</t>
  </si>
  <si>
    <t>Szoc. Szolgáltató Központ összesen</t>
  </si>
  <si>
    <t>Mikrotérségi Családsegítő- és Gyermekjóléti Intézményfenntartó Társulás 2009. évre tervezett bevételeinek és kiadásainak mérlege</t>
  </si>
  <si>
    <t>Mikrotérségi Családs.- és Gy.j. Int. Társ</t>
  </si>
  <si>
    <t>Művelődési Ház és Könyvtár 2009. évre tervezett bevételeinek és kiadásainak mérlege</t>
  </si>
  <si>
    <t>Művelődési Ház és Könyvtár összesen</t>
  </si>
  <si>
    <t>Intézményi Konyhák 2009. évre tervezett bevételeinek és kiadásainak mérlege</t>
  </si>
  <si>
    <t>Intézményi Konyhák összesen</t>
  </si>
  <si>
    <t xml:space="preserve">Az önkormányzat 2009. évi beruházási kiadásai feladatonként </t>
  </si>
  <si>
    <t>E Ft-ban</t>
  </si>
  <si>
    <t>S.</t>
  </si>
  <si>
    <t>Intézmény neve</t>
  </si>
  <si>
    <t>Bekerülési költség</t>
  </si>
  <si>
    <t>Bekerülési költségből</t>
  </si>
  <si>
    <t>2008.12.31.-ig felh.</t>
  </si>
  <si>
    <t>2009. évi előirányzat</t>
  </si>
  <si>
    <t>2009. évi módosított előirányzat</t>
  </si>
  <si>
    <t>2009. évi tény</t>
  </si>
  <si>
    <t>sz.</t>
  </si>
  <si>
    <t xml:space="preserve">Kezdési </t>
  </si>
  <si>
    <t xml:space="preserve">Saját </t>
  </si>
  <si>
    <t>támogatás</t>
  </si>
  <si>
    <t>Kiadás</t>
  </si>
  <si>
    <t>Feladat, cél megnevezése</t>
  </si>
  <si>
    <t>év</t>
  </si>
  <si>
    <t>forrás</t>
  </si>
  <si>
    <t>összesen</t>
  </si>
  <si>
    <t>INTÉZMÉNYEK BERUHÁZÁSI KIADÁSAI</t>
  </si>
  <si>
    <t>II. Rákóczi Ferenc Általános Iskola és Alapfokú Művészetoktatási Intézmény</t>
  </si>
  <si>
    <t>II. Rákóczi Ferenc Általános Iskola és Alapfokú Művészetoktatási Intézmény nyílászáró csere</t>
  </si>
  <si>
    <t xml:space="preserve">Polgármesteri Hivatal </t>
  </si>
  <si>
    <t>Infokommunikációs technológiai fejlesztés</t>
  </si>
  <si>
    <t>INTÉZMÉNYEK BERUHÁZÁSI KIADÁSA ÖSSZESEN :</t>
  </si>
  <si>
    <t>ÖNKORMÁNYZATI BERUHÁZÁSOK</t>
  </si>
  <si>
    <t>Részletes Rendezési Terv készítése (digitális térképek)</t>
  </si>
  <si>
    <t>Számítástechnikai szoftverek (Vp. Iskola)</t>
  </si>
  <si>
    <t>2009.</t>
  </si>
  <si>
    <t>Számítástechnikai szoftverek Újl. Iskola)</t>
  </si>
  <si>
    <t>Számítástechnikai eszközök  (Újl. Iskola)</t>
  </si>
  <si>
    <t>Számítástechnikai eszközök  (Vp. Óvoda)</t>
  </si>
  <si>
    <t>Eszközök  (mérleg Újl. óvoda)</t>
  </si>
  <si>
    <t>Számítástechnikai eszközk beszerzése a Polg. Hivatalba</t>
  </si>
  <si>
    <t>Vill. Égetőkemence Műv. Ház</t>
  </si>
  <si>
    <t>Fűnyíró traktor vásárlása</t>
  </si>
  <si>
    <t>Vámospércs Műv. Ház bőv. Befejezése (CEDE)</t>
  </si>
  <si>
    <t xml:space="preserve">ÁROP-2007-1.A.2/A Polgármesteri hivatal szervezetfejlesztése c. pályázat önrésze </t>
  </si>
  <si>
    <t>ÉAOP-4.1.3/B Vámospércs bölcsöde létesítése</t>
  </si>
  <si>
    <t>KEOP-1.2.0 Vp.-Ny.falva tel. szennyvízelvez. és tisztítás I.</t>
  </si>
  <si>
    <t>ÉAOP-5.1.1/E A városi közösségi szolgáltatások körének bővítése Vámospércsen (parkoló, játszóterek ép.)</t>
  </si>
  <si>
    <r>
      <t>TIOP-2007-2.1.2. Vámospércs Egészségügyi Központ kialakítása</t>
    </r>
    <r>
      <rPr>
        <vertAlign val="superscript"/>
        <sz val="9"/>
        <rFont val="Times New Roman CE"/>
        <family val="1"/>
      </rPr>
      <t>*</t>
    </r>
  </si>
  <si>
    <t>Utak építése</t>
  </si>
  <si>
    <t>Zrínyi, Homok, Táncsics utak építése</t>
  </si>
  <si>
    <t>Temető bővítés</t>
  </si>
  <si>
    <t>Vízelvezető csatornák vízjogi engedélye</t>
  </si>
  <si>
    <t>Telek vásárlás (Hajnal utca)</t>
  </si>
  <si>
    <t>BERUHÁZÁSOK ÖSSZESEN</t>
  </si>
  <si>
    <t>* A pályázathoz önerőként a telek értéke van tervezve 52.600e Ft összegben. Kiadásként fog jelentkezni nyertes pályázat esetén a közművesítés</t>
  </si>
  <si>
    <t>Felújíátás</t>
  </si>
  <si>
    <t>támoga-tás</t>
  </si>
  <si>
    <t xml:space="preserve">Kiadás </t>
  </si>
  <si>
    <t>össz.</t>
  </si>
  <si>
    <t>FELÚJÍTÁSOK</t>
  </si>
  <si>
    <t>TEUT-2008 Görgey utca felújítása</t>
  </si>
  <si>
    <t>Iskola, óvoda felújítás</t>
  </si>
  <si>
    <t>TIOP-3.4.2-08/1 Magasabb minőségű szolg. a Vp. Szoc. Sz. K.</t>
  </si>
  <si>
    <t>FELÚJÍTÁSOK ÖSSZESEN</t>
  </si>
  <si>
    <t>KIMUTATÁS AZ EURÓPAI UNIÓS FORRÁSBÓL MEGVALÓSULÓ PROJEKTEKRŐL</t>
  </si>
  <si>
    <t>Projekt megnevezése</t>
  </si>
  <si>
    <t>Összköltség</t>
  </si>
  <si>
    <t>Összköltségből</t>
  </si>
  <si>
    <t>2008.12.31.-ig felhasznált</t>
  </si>
  <si>
    <t>Támogatás</t>
  </si>
  <si>
    <t>hazai</t>
  </si>
  <si>
    <t xml:space="preserve"> Európai Uniós</t>
  </si>
  <si>
    <t>ÉAOP-5.1.1/E A városi közösségi szolgáltatások körének bővítése Vámospércsen</t>
  </si>
  <si>
    <r>
      <t>TIOP-2007-2.1.2. Vámospércs Egészségügyi Központ kialakítása</t>
    </r>
    <r>
      <rPr>
        <vertAlign val="superscript"/>
        <sz val="10"/>
        <rFont val="Times New Roman CE"/>
        <family val="1"/>
      </rPr>
      <t>*</t>
    </r>
  </si>
  <si>
    <t>TÁMOP-3.2.4-08/1 Tudásdepó-Expressz … Könyvtárhasználók igényeinek kielégítése</t>
  </si>
  <si>
    <t>TIOP-1.2.3-08/1 Könyvtári szolgáltatások összehangolt infrastruktúra fejlesztése</t>
  </si>
  <si>
    <t>ÖSSZESEN:</t>
  </si>
  <si>
    <t>2009. évi normatív  hozzájárulások  elszámolása és a mutatószámok, feladatmutatók alakulása</t>
  </si>
  <si>
    <t>A hozzájárulás jogcíme (az éves költségvetési törvény szerint)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</si>
  <si>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</si>
  <si>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</si>
  <si>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</si>
  <si>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</si>
  <si>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</si>
  <si>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</si>
  <si>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Október 15.</t>
  </si>
  <si>
    <t>mutatószám</t>
  </si>
  <si>
    <t>hozzájárulás</t>
  </si>
  <si>
    <t>Telep.önk.felad. -telep.-üzem,</t>
  </si>
  <si>
    <t>Telep.önk.felad. -közösségi kö</t>
  </si>
  <si>
    <t>Telep.önk.felad. -települési s</t>
  </si>
  <si>
    <t>Körzeti igazgatás. -okm.irod.m</t>
  </si>
  <si>
    <t>Körzeti igazgatás- okmányiroda</t>
  </si>
  <si>
    <t>Körzeti igazgatás- gyámügyi ig</t>
  </si>
  <si>
    <t>Körzeti igazgatás- építésügyi</t>
  </si>
  <si>
    <t>Lakott külterülettel kapcsolat</t>
  </si>
  <si>
    <t>Foglakoztatási gondokkal küzdő</t>
  </si>
  <si>
    <t>Helyi közművelődési és közgyűj</t>
  </si>
  <si>
    <t>Pénzbeli szociális juttatások</t>
  </si>
  <si>
    <t>Szoc. alapszolg.-családsegítés</t>
  </si>
  <si>
    <t>Szoc. alapszolg.-gyermekjóléti</t>
  </si>
  <si>
    <t>Szoc. alapszolg.- szoc.étkezte</t>
  </si>
  <si>
    <t>Szoc. alapszolg.- házi segítsé</t>
  </si>
  <si>
    <t>Jelzőrendszer</t>
  </si>
  <si>
    <t>Szoc. alapszolg.- időskorúak n</t>
  </si>
  <si>
    <t>Szoc., bentlakás-átlagos-szoc.</t>
  </si>
  <si>
    <t>Óvoda- 8 hó- &gt; 8 óra- 1-2. nev</t>
  </si>
  <si>
    <t>Óvoda- 8 hó- &gt; 8 óra- 3. nevel</t>
  </si>
  <si>
    <t>Óvoda- 4 hó- &gt; 8 óra- 1-3. nev</t>
  </si>
  <si>
    <t>Ált. iskola- 8 hó- 1-2. évfoly</t>
  </si>
  <si>
    <t>Ált. iskola- 8 hó- 3. évfolyam</t>
  </si>
  <si>
    <t>Ált. iskola- 8 hó- 4. évfolyam</t>
  </si>
  <si>
    <t>Ált. iskola- 8 hó- 5-6. évfoly</t>
  </si>
  <si>
    <t>Ált. iskola- 8 hó- 7-8. évfoly</t>
  </si>
  <si>
    <t>Ált. iskola- 4 hó- 1-2. évfoly</t>
  </si>
  <si>
    <t>Ált. iskola- 4 hó- 3. évfolyam</t>
  </si>
  <si>
    <t>Ált. iskola- 4 hó- 4. évfolyam</t>
  </si>
  <si>
    <t>Ált. iskola- 4 hó- 5-6. évfoly</t>
  </si>
  <si>
    <t>Ált. iskola- 4 hó- 7. évfolyam</t>
  </si>
  <si>
    <t>Ált. iskola- 4 hó- 8. évfolyam</t>
  </si>
  <si>
    <t>TERVBEN VAN</t>
  </si>
  <si>
    <t>ÖSSZESEN -Alapfokú művészetokt</t>
  </si>
  <si>
    <t>Alapf. művészetokt- 8 hó- zene</t>
  </si>
  <si>
    <t>Alapf. műv.okt- 8 hó- képző-,</t>
  </si>
  <si>
    <t>Alapf. művészetokt- 4 hó- zene</t>
  </si>
  <si>
    <t>Alapf. műv.okt- 4 hó- képző-,</t>
  </si>
  <si>
    <t>Napközis fogl.- 8 hó- 1-4. évf</t>
  </si>
  <si>
    <t>Napközis fogl.- 8 hó- 5-8. évf</t>
  </si>
  <si>
    <t>Napközis fogl.- 8 hó- 1-2. évf</t>
  </si>
  <si>
    <t>Napközis fogl.- 4 hó- 1-4. évf</t>
  </si>
  <si>
    <t>Napközis fogl.- 4 hó- 5-8. évf</t>
  </si>
  <si>
    <t>Napközis fogl.- 4 hó- 1-3. évf</t>
  </si>
  <si>
    <t>ÖSSZESEN -Sajátos nev.ig.- 8 h</t>
  </si>
  <si>
    <t>Sajátos nev.ig.- 8 hó- magánta</t>
  </si>
  <si>
    <t>ÖSSZESEN -Sajátos nev.ig.- 4 h</t>
  </si>
  <si>
    <t>Sajátos nev.ig.- 4 hó- magánta</t>
  </si>
  <si>
    <t>Sajátos nev.ig.- 4 hó- gyógyp.</t>
  </si>
  <si>
    <t>Sajátos nev.ig.- 8 hó- testi,</t>
  </si>
  <si>
    <t>Sajátos nev.ig.- 4 hó- testi,</t>
  </si>
  <si>
    <t>Sajátos nev.ig.- 4 hó- beszéd,</t>
  </si>
  <si>
    <t>Sajátos nev.ig.- 8 hó- viselke</t>
  </si>
  <si>
    <t>Sajátos nev.ig.- 4 hó- viselke</t>
  </si>
  <si>
    <t>ÖSSZESEN -Nem magyarul- 8 hó-</t>
  </si>
  <si>
    <t>Nem magyarul- 8 hó- kizárólag</t>
  </si>
  <si>
    <t>ÖSSZESEN -Nem magyarul- 4 hó-</t>
  </si>
  <si>
    <t>Nem magyarul- 4 hó- kizárólag</t>
  </si>
  <si>
    <t>ÖSSZESEN -Hozzájár.egyes- 8 hó</t>
  </si>
  <si>
    <t>Hozzájár.egyes- 8 hó- társulás</t>
  </si>
  <si>
    <t>ÖSSZESEN -Hozzájár.egyes- 4 hó</t>
  </si>
  <si>
    <t>Hozzájár.egyes- 4 hó- társulás</t>
  </si>
  <si>
    <t>ÖSSZESEN -Szoc.jutt.- 12 hó- k</t>
  </si>
  <si>
    <t>Szoc.jutt.- 12 hó- kedv. étkez</t>
  </si>
  <si>
    <t>Szoc.jutt.- 12 hó- tankönyv- i</t>
  </si>
  <si>
    <t>Szoc.jutt.- 12 hó- tankönyv- á</t>
  </si>
  <si>
    <t>Összesen:</t>
  </si>
  <si>
    <t xml:space="preserve">Az Önkormányzat és intézményei 2009. évi költségvetési létszámkerete </t>
  </si>
  <si>
    <t>fő</t>
  </si>
  <si>
    <t>Fe-</t>
  </si>
  <si>
    <t>Engedélyezett</t>
  </si>
  <si>
    <t xml:space="preserve">Átlag </t>
  </si>
  <si>
    <t>je-</t>
  </si>
  <si>
    <t>cím</t>
  </si>
  <si>
    <t>alcím</t>
  </si>
  <si>
    <t>M e g n e v e z é s</t>
  </si>
  <si>
    <t>dolgozói létszám</t>
  </si>
  <si>
    <t>létszám</t>
  </si>
  <si>
    <t>zet</t>
  </si>
  <si>
    <t xml:space="preserve"> 2009. 12. 31.</t>
  </si>
  <si>
    <t>2009. év</t>
  </si>
  <si>
    <t>Önkormányzati finanszírozású intézmények</t>
  </si>
  <si>
    <t>Polgármesteri Hivatal és részben önálló intézményei</t>
  </si>
  <si>
    <t>Polgármesteri Hivatal</t>
  </si>
  <si>
    <t xml:space="preserve">   - köztisztviselők</t>
  </si>
  <si>
    <t xml:space="preserve">   - önkormányzati közalkalmazott</t>
  </si>
  <si>
    <t xml:space="preserve">   - MT hatálya alá tartozó munkavállalók</t>
  </si>
  <si>
    <t xml:space="preserve">   - MT hatálya alá tartozó munkavállalók (közhasznú, közcélú)</t>
  </si>
  <si>
    <t>Vámospércs-Újléta Közoktatási Intézményfenntartó Társulás Általános Iskola</t>
  </si>
  <si>
    <t>Vámospércs-Újléta Közoktatási Intézményfenntartó Társulás Óvoda</t>
  </si>
  <si>
    <t>Mikrotérségi Családsegítő- és Gyermekjóléti Int.Társulás</t>
  </si>
  <si>
    <t>Művelődési Ház- és Könyvtár</t>
  </si>
  <si>
    <t>Vámospércs Intézményi Konyhák</t>
  </si>
  <si>
    <t>Kimutatás a Polgármesteri Hivatal  működési kiadásairól szakfeladatonkénti bontásban 2009. év</t>
  </si>
  <si>
    <t>Szakfeladat</t>
  </si>
  <si>
    <t>Munka-adókat terhelő jár.</t>
  </si>
  <si>
    <t>Dologi kiadások</t>
  </si>
  <si>
    <t>Átadott pénz., hitel törl.</t>
  </si>
  <si>
    <t xml:space="preserve">Szociális kiadások </t>
  </si>
  <si>
    <t>2009. évi tény összesen</t>
  </si>
  <si>
    <t>Száma</t>
  </si>
  <si>
    <t xml:space="preserve">Kisegítő megzőgazdasági szolgáltatás (parkfenntartás) </t>
  </si>
  <si>
    <t>014034</t>
  </si>
  <si>
    <t xml:space="preserve">Lapkiadás  </t>
  </si>
  <si>
    <t>Mélyépítőipar (beruházások)</t>
  </si>
  <si>
    <t>Helyi közutak létesítése, felújítása</t>
  </si>
  <si>
    <t>Közutak, hidak, alagutak üzemeltetése</t>
  </si>
  <si>
    <t>Saját vagy bérelt ingatlan hasznosítása (Ifjúsági ház)</t>
  </si>
  <si>
    <t>Önkormányzati igazgatási tevékenység (Polgármesteri Hivatal)</t>
  </si>
  <si>
    <t xml:space="preserve"> ebből: képviselő-testület kiadásai</t>
  </si>
  <si>
    <t>Országgyűlési képviselői választás</t>
  </si>
  <si>
    <t>Önkorm. És töbcélú kist.társkis.szolg.</t>
  </si>
  <si>
    <t>Máshova nem sorolt egyéb szervek tev. (Közcélúak fogl.)</t>
  </si>
  <si>
    <t>Vízkárelhárítás</t>
  </si>
  <si>
    <t>Város és községgazdálkodási szolgáltatás</t>
  </si>
  <si>
    <t>Közvilágítási feladatok</t>
  </si>
  <si>
    <t>Önkormányzat elszámolásai</t>
  </si>
  <si>
    <t>Önk.és többc.kist.tár.fe.nem terv.elsz.</t>
  </si>
  <si>
    <t>Finanszírozási műveletek elszámolása</t>
  </si>
  <si>
    <t xml:space="preserve">Állategészségügyi tevékenység </t>
  </si>
  <si>
    <t>Ápoló-gondozó otth.és rehab.int.ellátás</t>
  </si>
  <si>
    <t>Egyéb szociális és gyermekjóléti szolg.</t>
  </si>
  <si>
    <t>Rendszeres szociális pénzbeni ellátások</t>
  </si>
  <si>
    <t>Rendszeres gyermekvédelmi pénzb.ellátás</t>
  </si>
  <si>
    <t>Eseti pénzbeli szociális ellátások</t>
  </si>
  <si>
    <t>Eseti pénzbeni gyermekvédelmi ellátások</t>
  </si>
  <si>
    <t>Szennyvízelvezetés - és kezelés</t>
  </si>
  <si>
    <t xml:space="preserve">Települési hulladékkezelés </t>
  </si>
  <si>
    <t>Televízió műsorszolgáltatás</t>
  </si>
  <si>
    <t>Művelődési központok, házak tevékenysége</t>
  </si>
  <si>
    <t>Sport létesítmények működtetése (uszoda)</t>
  </si>
  <si>
    <t>Temetkezési szolgáltatás</t>
  </si>
  <si>
    <t>Máshova nem sorolt egyéb szolg. (Tájház)</t>
  </si>
  <si>
    <t xml:space="preserve">Intézm. bevétel  </t>
  </si>
  <si>
    <t>Önk.sa-játos bev.</t>
  </si>
  <si>
    <t>Támo-gatások</t>
  </si>
  <si>
    <t>Tám.ért. bevétel</t>
  </si>
  <si>
    <t>Pénzm. ig.vétel</t>
  </si>
  <si>
    <t>Átvett pénz., hitel felv.</t>
  </si>
  <si>
    <t>Máshová nem sorolható szervek tev.</t>
  </si>
  <si>
    <t>Önkormányz. És többc.kistérs.társ.elsz.</t>
  </si>
  <si>
    <t>Állategészségügyi tevékenység</t>
  </si>
  <si>
    <t>Ápoló-gondozó otth.és reha.int.ellátás</t>
  </si>
  <si>
    <t>Szennyvízelvezetés és kezelés</t>
  </si>
  <si>
    <t>Települési hulladékok kez.köztiszt.tev.</t>
  </si>
  <si>
    <t>Televízió műsorszolgáltatása</t>
  </si>
  <si>
    <t>e. Ft</t>
  </si>
  <si>
    <t>Hitelt nyújtó neve</t>
  </si>
  <si>
    <t>Hitel célja</t>
  </si>
  <si>
    <t>Felvétel időpontja</t>
  </si>
  <si>
    <t>Lejárat időpontja</t>
  </si>
  <si>
    <t>Felvett hitel összege</t>
  </si>
  <si>
    <t>2009. 12.31-én fennálló tőketar-tozás</t>
  </si>
  <si>
    <t>Törlesztés összege</t>
  </si>
  <si>
    <t>2010. év</t>
  </si>
  <si>
    <t>2011. év</t>
  </si>
  <si>
    <t>2012. év</t>
  </si>
  <si>
    <t>2012.után</t>
  </si>
  <si>
    <t>Fejlesztési hitelek</t>
  </si>
  <si>
    <t>Vp. és Vidéke Tak.sz.</t>
  </si>
  <si>
    <t>Ifjúsági ház építés</t>
  </si>
  <si>
    <t>Ford gk. vásárlás</t>
  </si>
  <si>
    <t xml:space="preserve">8tt. Iskola nyílászáró </t>
  </si>
  <si>
    <t xml:space="preserve">   2006.01.31.</t>
  </si>
  <si>
    <t xml:space="preserve">  2020.08.31.</t>
  </si>
  <si>
    <t>Műfüves pálya építés</t>
  </si>
  <si>
    <t xml:space="preserve">   2007.12.03.</t>
  </si>
  <si>
    <t xml:space="preserve">  2017.11.30.</t>
  </si>
  <si>
    <t>8tt.iskola bővítés</t>
  </si>
  <si>
    <t xml:space="preserve">   2008.02.25.</t>
  </si>
  <si>
    <t xml:space="preserve">   2007.12.21.</t>
  </si>
  <si>
    <t>OTP Bank Nyrt.</t>
  </si>
  <si>
    <t>beruházások saját forrása</t>
  </si>
  <si>
    <t xml:space="preserve"> 2008. 01. 22.</t>
  </si>
  <si>
    <t>Fejlesztési hitelek, kötvény össz.</t>
  </si>
  <si>
    <t>Működési hitelek</t>
  </si>
  <si>
    <t>likvid hitel (folyószámla)</t>
  </si>
  <si>
    <t>likvid hitel (munkabér)</t>
  </si>
  <si>
    <t>Működési hitelek össz.</t>
  </si>
  <si>
    <t>Hitel összesen</t>
  </si>
  <si>
    <t>2009. 12.31-én fennálló kamat-tozás</t>
  </si>
  <si>
    <t>kamat összege</t>
  </si>
  <si>
    <t>Fejlesztési hitelek össz.</t>
  </si>
  <si>
    <t>Egyéb kötelezettségek</t>
  </si>
  <si>
    <t>Kötelezettség megnevezése</t>
  </si>
  <si>
    <t>Kezdés időpontja</t>
  </si>
  <si>
    <t>kötelezettség összege</t>
  </si>
  <si>
    <t>Hajdúszoboszló Önk.</t>
  </si>
  <si>
    <t>IKER program működtetése</t>
  </si>
  <si>
    <t>Reg. Fejl. Beruházó és Szog. Zrt</t>
  </si>
  <si>
    <t>fűtés korszerűsítés</t>
  </si>
  <si>
    <t>Vámospércs Városi Önkormányzat kötvényállománya</t>
  </si>
  <si>
    <t>Kibocsátó</t>
  </si>
  <si>
    <t>Döntés alapja</t>
  </si>
  <si>
    <t>404/2007. (XII. 10.) számú képviselő-testületi határozat</t>
  </si>
  <si>
    <t>Kibocsátás időpontja</t>
  </si>
  <si>
    <t>2008. január 22.</t>
  </si>
  <si>
    <t>Kibocsátás értéke</t>
  </si>
  <si>
    <t xml:space="preserve">                                    300.000.000.-Ft-nak megfelelő össznévértékű CHF névre szóló dematerializált kötvény</t>
  </si>
  <si>
    <t>(kibocsátáskor 1.928392 CHF)</t>
  </si>
  <si>
    <t>Megbízott fizető, szervező pénzintézet</t>
  </si>
  <si>
    <t>OTP Bank Nyrt. Budapest</t>
  </si>
  <si>
    <t>Futamidő vége</t>
  </si>
  <si>
    <t>2027. szeptember 30.</t>
  </si>
  <si>
    <t xml:space="preserve">Futamidő   </t>
  </si>
  <si>
    <t>20 év (visszafizetési kötelezettség három év türelmiidővel)</t>
  </si>
  <si>
    <t>Kamatozás</t>
  </si>
  <si>
    <t>változó, kamatfizetés negyedévente 2008. január 22-től</t>
  </si>
  <si>
    <t>Visszafizetési kötelezettség kezdete</t>
  </si>
  <si>
    <t>2011. január 22.</t>
  </si>
  <si>
    <t>Fizetett kamat 2009. évre: 7.737 ezer Ft</t>
  </si>
  <si>
    <t>Halmozott kamatkiadás 2009. 12. 31-ig: 16.710 ezer Ft</t>
  </si>
  <si>
    <t>Befektetésből származó kamat bevétel 2009-ben:  23.023 ezer Ft</t>
  </si>
  <si>
    <t>Halmozott kamatbevétel 2009. 12. 31-ig: 43.454 ezer Ft</t>
  </si>
  <si>
    <t xml:space="preserve"> - összes kamatbevételből lehívott, működési likviditási célra felhasznált: 19.523 ezer Ft</t>
  </si>
  <si>
    <t xml:space="preserve"> - összes kamatbevételből lehívott, felhalmozási célra felhasznált:                3.500 ezer Ft</t>
  </si>
  <si>
    <t>2009. 12. 31- ig felhalmozási célra igénybe vett kötvény összege</t>
  </si>
  <si>
    <t>Még felhasználható összeg 2009. évben</t>
  </si>
  <si>
    <t>A támogatás kedvezményezettje</t>
  </si>
  <si>
    <t>Tétel-szám</t>
  </si>
  <si>
    <t>Mentesség</t>
  </si>
  <si>
    <t>Kedvezmény</t>
  </si>
  <si>
    <t>Közv. tám. össz. (EFt)</t>
  </si>
  <si>
    <t>jogcíme (jellege)</t>
  </si>
  <si>
    <t>mérték (%)</t>
  </si>
  <si>
    <t>összeg (EFt)</t>
  </si>
  <si>
    <t>Végleges mentesség (70 év felett)</t>
  </si>
  <si>
    <t>magánszemélyek komm. adója</t>
  </si>
  <si>
    <t>Életkortól függő mentesség        (70 év felett)</t>
  </si>
  <si>
    <t>szemétszállítási díj</t>
  </si>
  <si>
    <t>Egyedül élő 65 év feletti kedvezmény</t>
  </si>
  <si>
    <t>ÖSSZESEN</t>
  </si>
  <si>
    <t xml:space="preserve">                                                                                                 </t>
  </si>
  <si>
    <t>Az önkormányzat 2009. évi  költségvetésében biztosított tartalékok kimutatása</t>
  </si>
  <si>
    <t>Általános tartalék</t>
  </si>
  <si>
    <t>Felhalmozási célú tartalék</t>
  </si>
  <si>
    <t>adatok e Ft-ban</t>
  </si>
  <si>
    <t>MEGNEVEZÉS</t>
  </si>
  <si>
    <t>Előző év</t>
  </si>
  <si>
    <t>Előző éviből</t>
  </si>
  <si>
    <t>Tárgyév</t>
  </si>
  <si>
    <t>Tárgyéviből</t>
  </si>
  <si>
    <t>Polg. Hiv.</t>
  </si>
  <si>
    <t>CKÖ</t>
  </si>
  <si>
    <t>Költségvetési bankszámlák záró egyenlegei</t>
  </si>
  <si>
    <t>Pénztárak és betétkönyvek záró egyenlegei</t>
  </si>
  <si>
    <t>Záró pénzkészlet összesen</t>
  </si>
  <si>
    <t>Forgatási célú pénzügyi műveletek egyenlege előző évi</t>
  </si>
  <si>
    <t>Forgatási célú pénzügyi műveletek egyenlege tágy évi</t>
  </si>
  <si>
    <t>Költségvetési aktív kiegyenlítő  elsz. z egy.</t>
  </si>
  <si>
    <t>Passzív kiegyenlítő  elszámolások záróegy.</t>
  </si>
  <si>
    <t>Kv.-i aktív átfutó elszámolsok záróegyenlege</t>
  </si>
  <si>
    <t>Passzív átfutó elszámolások záróegyenlege</t>
  </si>
  <si>
    <t>Aktív függő elszámolások záróegyenlege</t>
  </si>
  <si>
    <t>Passzív függő elszámolások záróegyenlege</t>
  </si>
  <si>
    <t>Egyéb aktív, passzív pü. elszámolások össz</t>
  </si>
  <si>
    <t>Előző években képzett tartalék maradványa</t>
  </si>
  <si>
    <t>Váll.-i tevékenység pénzforg. eredménye</t>
  </si>
  <si>
    <t>Tárgyévi helyesbített pénzmaradvány</t>
  </si>
  <si>
    <t>Költségvetési befizetés többlettámogatás m.</t>
  </si>
  <si>
    <t>Kv.-i kiutalás kiutalatlan támogatás miatt</t>
  </si>
  <si>
    <t>Költségvetési pénzmaradvány</t>
  </si>
  <si>
    <t>Módosított pénzmaradvány</t>
  </si>
  <si>
    <t>Kötelezettséggel terhelt pénzmaradvány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</si>
  <si>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</si>
  <si>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KÖNYVVITELI MÉRLEG</t>
  </si>
  <si>
    <t>ezer forintban</t>
  </si>
  <si>
    <t>ESZKÖZÖK</t>
  </si>
  <si>
    <t>állományi érték</t>
  </si>
  <si>
    <t>1</t>
  </si>
  <si>
    <t>1. Alapítás-átszervezés aktivált értéke (1111., 1121.)</t>
  </si>
  <si>
    <t>2. Kísérleti fejlesztés aktivált értéke (1112., 1122.)</t>
  </si>
  <si>
    <t>3. Vagyoni értékű jogok (1113., 1123.)</t>
  </si>
  <si>
    <t>4. Szellemi termékek (1114., 1124.)</t>
  </si>
  <si>
    <t>5. Immateriális javakra adott előlegek (1181., 1182.)</t>
  </si>
  <si>
    <t>6. Immateriális javak értékhelyesbítése (119.)</t>
  </si>
  <si>
    <r>
      <t xml:space="preserve">I. Immateriális javak összesen </t>
    </r>
    <r>
      <rPr>
        <b/>
        <sz val="12"/>
        <rFont val="Times New Roman"/>
        <family val="1"/>
      </rPr>
      <t>(01+…+06)</t>
    </r>
  </si>
  <si>
    <t>1. Ingatlanok és a kapcsolódó vagyoni értékű jogok (121., 122-ből)</t>
  </si>
  <si>
    <t>2. Gépek, berendezések és felszerelések (1311., 1312-ből)</t>
  </si>
  <si>
    <t>3. Járművek (1321., 1322-ből)</t>
  </si>
  <si>
    <t>4. Tenyészállatok (141., 142-ből)</t>
  </si>
  <si>
    <t>5. Beruházások, felújítások (1227., 127., 13127., 1317., 132227., 132237., 1327., 14227., 14237., 147.)</t>
  </si>
  <si>
    <t>6. Beruházásra adott előlegek (128., 1318., 1328., 148. 1598., 1599.)</t>
  </si>
  <si>
    <t>7. Állami készletek, tartalékok (1591., 1592.)</t>
  </si>
  <si>
    <t>8. Tárgyi eszközök értékhelyesbítése (129., 1319., 1329., 149.)</t>
  </si>
  <si>
    <r>
      <t xml:space="preserve">II. Tárgyi eszközök összesen </t>
    </r>
    <r>
      <rPr>
        <b/>
        <sz val="12"/>
        <rFont val="Times New Roman"/>
        <family val="1"/>
      </rPr>
      <t>(08+...+15)</t>
    </r>
  </si>
  <si>
    <t>1. Egyéb tartós részesedés (171., 1751.)</t>
  </si>
  <si>
    <t>2. Tartós hitelviszonyt megtestesítő értékpapír (172-174., 1752.)</t>
  </si>
  <si>
    <t>3. Tartósan adott kölcsön (191-194-ből, 1981-ből)</t>
  </si>
  <si>
    <t>4. Hosszú lejáratú bankbetétek (178.)</t>
  </si>
  <si>
    <t>5. Egyéb hosszú lejáratú követelések (195-ből, 1982-ből)</t>
  </si>
  <si>
    <t>6. Befektetett pénzügyi eszközök értékhelyesbítése (179.)</t>
  </si>
  <si>
    <r>
      <t xml:space="preserve">III. Befektetett pénzügyi eszközök összesen </t>
    </r>
    <r>
      <rPr>
        <b/>
        <sz val="12"/>
        <rFont val="Times New Roman"/>
        <family val="1"/>
      </rPr>
      <t>(17+...+22)</t>
    </r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</si>
  <si>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</si>
  <si>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</si>
  <si>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</si>
  <si>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</si>
  <si>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</si>
  <si>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r>
      <t xml:space="preserve">IV. Üzemeltetésre, kezelésre átadott, koncesszióba, vagyonkezelésbe adott, illetve vagyonkezelésbe vett eszközök  </t>
    </r>
    <r>
      <rPr>
        <b/>
        <sz val="12"/>
        <rFont val="Times New Roman"/>
        <family val="1"/>
      </rPr>
      <t>(24+…+28)</t>
    </r>
  </si>
  <si>
    <r>
      <t xml:space="preserve">A) BEFEKTETETT ESZKÖZÖK ÖSSZESEN </t>
    </r>
    <r>
      <rPr>
        <b/>
        <sz val="12"/>
        <rFont val="Times New Roman"/>
        <family val="1"/>
      </rPr>
      <t>(07+16+23+29)</t>
    </r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</si>
  <si>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</si>
  <si>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</si>
  <si>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</si>
  <si>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</si>
  <si>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5/a Áruk, betétdíjas göngyölegek, közvetített szolgáltatások (22., 231., 232., 234., 242., 243., 244. 246.)</t>
  </si>
  <si>
    <t>5/b Követelés fejében átvett eszközök, készletek (233., 245.)</t>
  </si>
  <si>
    <r>
      <t xml:space="preserve">I. Készletek összesen </t>
    </r>
    <r>
      <rPr>
        <b/>
        <sz val="12"/>
        <rFont val="Times New Roman"/>
        <family val="1"/>
      </rPr>
      <t>(31+32+33+34+35+36)</t>
    </r>
  </si>
  <si>
    <t>1. Követelések áruszállításból és szolgáltatásból (vevők) (282., 283., 284., 2882., 2883., 2884.)</t>
  </si>
  <si>
    <t>2. Adósok (281., 2881.)</t>
  </si>
  <si>
    <t>3. Rövid lejáratú kölcsönök (27., 278.)</t>
  </si>
  <si>
    <t>4. Egyéb követelések (285-287., 2885-2887., 19-ből)</t>
  </si>
  <si>
    <t>Ebből: - tartósan adott kölcsönökből a mérlegfordulónapot követő egy éven belül esedékes részletek (191-194-ből, 1981-ből)</t>
  </si>
  <si>
    <t>- egyéb hosszú lejáratú követelésekből a mérlegfordulónapot követő egy éven belül esedékes részletek (195-ből)</t>
  </si>
  <si>
    <t>- nemzetközi támogatási programok miatti követelések (2874.)</t>
  </si>
  <si>
    <t>- támogatási program előlegek (2871.)</t>
  </si>
  <si>
    <t>- támogatási programok szabálytalan kifizetése miatti követelések (2872.)</t>
  </si>
  <si>
    <t>- garancia- és kezességvállalásból származó követelések (2873.)</t>
  </si>
  <si>
    <r>
      <t xml:space="preserve">II. Követelések összesen </t>
    </r>
    <r>
      <rPr>
        <b/>
        <sz val="12"/>
        <rFont val="Times New Roman"/>
        <family val="1"/>
      </rPr>
      <t>(38+39+40+41)</t>
    </r>
  </si>
  <si>
    <t>1. Forgatási célú részesedés (2951., 298-ból)</t>
  </si>
  <si>
    <t>1/a Ebből: értékvesztés</t>
  </si>
  <si>
    <t>2. Forgatási célú hitelviszonyt megtestesítő értékpapírok (2911., 2921., 2931., 2941., 298-ból)</t>
  </si>
  <si>
    <t>2/a Ebből: értékvesztés</t>
  </si>
  <si>
    <r>
      <t xml:space="preserve">III. Értékpapírok összesen </t>
    </r>
    <r>
      <rPr>
        <b/>
        <sz val="12"/>
        <rFont val="Times New Roman"/>
        <family val="1"/>
      </rPr>
      <t>(49+50)</t>
    </r>
  </si>
  <si>
    <t>1. Pénztárak, csekkek, betétkönyvek (31.)</t>
  </si>
  <si>
    <t>2. Költségvetési bankszámlák (32.)</t>
  </si>
  <si>
    <t xml:space="preserve">3. Elszámolási számlák (33-34.) </t>
  </si>
  <si>
    <t>4. Idegen pénzeszközök (35-36.)</t>
  </si>
  <si>
    <r>
      <t xml:space="preserve">IV. Pénzeszközök összesen </t>
    </r>
    <r>
      <rPr>
        <b/>
        <sz val="12"/>
        <rFont val="Times New Roman"/>
        <family val="1"/>
      </rPr>
      <t>(52+...+55)</t>
    </r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</si>
  <si>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</si>
  <si>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</si>
  <si>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</si>
  <si>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</si>
  <si>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r>
      <t xml:space="preserve">V. Egyéb aktív pénzügyi elszámolások összesen </t>
    </r>
    <r>
      <rPr>
        <b/>
        <sz val="12"/>
        <rFont val="Times New Roman"/>
        <family val="1"/>
      </rPr>
      <t>(57+...+60)</t>
    </r>
  </si>
  <si>
    <r>
      <t xml:space="preserve">B) FORGÓESZKÖZÖK ÖSSZESEN </t>
    </r>
    <r>
      <rPr>
        <b/>
        <sz val="12"/>
        <rFont val="Times New Roman"/>
        <family val="1"/>
      </rPr>
      <t>(37+48+51+56+61)</t>
    </r>
  </si>
  <si>
    <t>ESZKÖZÖK ÖSSZESEN (30+62)</t>
  </si>
  <si>
    <t>FORRÁSOK</t>
  </si>
  <si>
    <t>1. Induló tőke (411.)</t>
  </si>
  <si>
    <t>2. Tőkeváltozások (412.)</t>
  </si>
  <si>
    <t>3. Értékelési tartalék (417.)</t>
  </si>
  <si>
    <r>
      <t xml:space="preserve">D) SAJÁT TŐKE ÖSSZESEN </t>
    </r>
    <r>
      <rPr>
        <b/>
        <sz val="12"/>
        <rFont val="Times New Roman"/>
        <family val="1"/>
      </rPr>
      <t>(64+65+66)</t>
    </r>
  </si>
  <si>
    <r>
      <t xml:space="preserve">1. Költségvetési tartalék elszámolása (4211., 4214.) </t>
    </r>
    <r>
      <rPr>
        <b/>
        <sz val="12"/>
        <rFont val="Times New Roman"/>
        <family val="1"/>
      </rPr>
      <t>(69+70)</t>
    </r>
  </si>
  <si>
    <t>Ebből: - tárgyévi költségvetési tartalék elszámolása (4211.)</t>
  </si>
  <si>
    <t xml:space="preserve"> - előző év(ek) költségvetési tartalékának elszámolása (4214.)</t>
  </si>
  <si>
    <t>2. Költségvetési pénzmaradvány (4212.)</t>
  </si>
  <si>
    <t>3. Kiadási megtakarítás (425.)</t>
  </si>
  <si>
    <t>4. Bevételi lemaradás (426.)</t>
  </si>
  <si>
    <t>5. Előirányzat-maradvány (424.)</t>
  </si>
  <si>
    <r>
      <t xml:space="preserve">I. Költségvetési tartalékok összesen </t>
    </r>
    <r>
      <rPr>
        <b/>
        <sz val="12"/>
        <rFont val="Times New Roman"/>
        <family val="1"/>
      </rPr>
      <t>(68+71+...+74)</t>
    </r>
  </si>
  <si>
    <r>
      <t xml:space="preserve">1. Vállalkozási tartalék elszámolása (4221., 4224.) </t>
    </r>
    <r>
      <rPr>
        <b/>
        <sz val="12"/>
        <rFont val="Times New Roman"/>
        <family val="1"/>
      </rPr>
      <t>(77+78)</t>
    </r>
  </si>
  <si>
    <t>Ebből: - tárgyévi vállalkozási tartalék elszámolása (4221.)</t>
  </si>
  <si>
    <t>- előző év(ek) vállalkozási tartalékának elszámolása (4224.)</t>
  </si>
  <si>
    <t>2. Vállalkozási tevékenység eredménye (4222.)</t>
  </si>
  <si>
    <t>3. Vállalkozási tevékenység kiadási megtakarítása (427.)</t>
  </si>
  <si>
    <t>4. Vállalkozási tev. bevételi lemaradása (428.)</t>
  </si>
  <si>
    <r>
      <t xml:space="preserve">II. Vállalkozási tartalékok összesen </t>
    </r>
    <r>
      <rPr>
        <b/>
        <sz val="12"/>
        <rFont val="Times New Roman"/>
        <family val="1"/>
      </rPr>
      <t>(76+79+80+81)</t>
    </r>
  </si>
  <si>
    <r>
      <t xml:space="preserve">E) TARTALÉKOK ÖSSZESEN </t>
    </r>
    <r>
      <rPr>
        <b/>
        <sz val="12"/>
        <rFont val="Times New Roman"/>
        <family val="1"/>
      </rPr>
      <t>(75+82)</t>
    </r>
  </si>
  <si>
    <t>1. Hosszú lejáratra kapott kölcsönök (43512., 43612.)</t>
  </si>
  <si>
    <t>2. Tartozások fejlesztési célú kötvénykibocsátásból (434112.)</t>
  </si>
  <si>
    <t>3. Tartozások működési célú kötvénykibocsátásból (434122.)</t>
  </si>
  <si>
    <t xml:space="preserve">4. Beruházási és fejlesztési hitelek (431112., 432112., 43312.) </t>
  </si>
  <si>
    <t>5. Működési célú hosszú lejáratú hitelek (431122., 432122.)</t>
  </si>
  <si>
    <t>6. Egyéb hosszú lejáratú kötelezettségek (438-ból)</t>
  </si>
  <si>
    <r>
      <t xml:space="preserve">I. Hosszú lejáratú kötelezettségek összesen </t>
    </r>
    <r>
      <rPr>
        <b/>
        <sz val="12"/>
        <rFont val="Times New Roman"/>
        <family val="1"/>
      </rPr>
      <t>(84+...+89)</t>
    </r>
  </si>
  <si>
    <t>1. Rövid lejáratú kölcsönök (4561., 4571.)</t>
  </si>
  <si>
    <t>2. Rövid lejáratú hitelek (4511., 4521., 4531., 4541.)</t>
  </si>
  <si>
    <t xml:space="preserve"> - likvid hitelek és a rövid lejáratú működési célú kötvénykibácsátások</t>
  </si>
  <si>
    <r>
      <t xml:space="preserve">3. Kötelezettségek áruszállításból és szolgáltatásból (szállítók) (441-443.) </t>
    </r>
    <r>
      <rPr>
        <b/>
        <sz val="12"/>
        <rFont val="Times New Roman"/>
        <family val="1"/>
      </rPr>
      <t>(94+95)</t>
    </r>
  </si>
  <si>
    <t>Ebből: - tárgyévi költségvetést terhelő szállítói kötelezettségek</t>
  </si>
  <si>
    <t>- tárgyévet követő évet terhelő szállítói kötelezettségek</t>
  </si>
  <si>
    <r>
      <t xml:space="preserve">4. Egyéb rövid lejáratú kötelezettségek (43-ból, 444., 445., 446., 447., 449., 4551.)   </t>
    </r>
    <r>
      <rPr>
        <b/>
        <sz val="12"/>
        <rFont val="Times New Roman"/>
        <family val="1"/>
      </rPr>
      <t xml:space="preserve"> (97+…+114)</t>
    </r>
  </si>
  <si>
    <t>Ebből: - váltótartozások (444.)</t>
  </si>
  <si>
    <t>- munkavállalókkal szembeni különféle kötelezettségek (445.)</t>
  </si>
  <si>
    <t>- költségvetéssel szembeni kötelezettségek (446.)</t>
  </si>
  <si>
    <t>- iparűzési adó feltöltés miatti kötelezettségek (4471.)</t>
  </si>
  <si>
    <t>- helyi adó túlfizetés (4472.)</t>
  </si>
  <si>
    <t>- nemzetközi támogatási programok miatti kötelezettségek (4494.)</t>
  </si>
  <si>
    <t>- támogatási program előlege miatti kötelezettség (4491.)</t>
  </si>
  <si>
    <t>- szabálytalan kifizetések miatti kötelezettségek (4492.)</t>
  </si>
  <si>
    <t>- garancia és kezességvállalásból származó kötelezettségek (4493.)</t>
  </si>
  <si>
    <t>- hosszú lejáratra kapott kölcsönök következő évet terhelő törlesztő részletei (43511., 43611.)</t>
  </si>
  <si>
    <t>- felhalmozási célú kötvénykibocsátásból származó tartozások következő évet terhelő törlesztő részletei (434111.)</t>
  </si>
  <si>
    <t>- működési célú kötvénykibocsátásból származó tartozások következő évet terhelő törlesztő részletei (434121, 4551.)</t>
  </si>
  <si>
    <t>- beruházási, fejlesztési hitelek következő évet terhelő törlesztő részletei (431111., 432111., 43311.)</t>
  </si>
  <si>
    <t>- működési célú hosszú lejáratú hitelek következő évet terhelő törlesztő részletei (431121., 432121.)</t>
  </si>
  <si>
    <t>- egyéb hosszú lejáratú kötelezettségek következő évet terhelő törlesztő részletei (438-ból)</t>
  </si>
  <si>
    <t>- tárgyévi költségvetést terhelő egyéb rövid lejáratú kötelezettségek (4499-ből)</t>
  </si>
  <si>
    <t>- a tárgyévet követő évet terhelő egyéb rövid lejáratú kötelezettségek (4499-ből)</t>
  </si>
  <si>
    <t>- egyéb különféle kötelezettségek (4499-ből)</t>
  </si>
  <si>
    <r>
      <t xml:space="preserve">II. Rövid lejáratú kötelezettségek összesen </t>
    </r>
    <r>
      <rPr>
        <b/>
        <sz val="12"/>
        <rFont val="Times New Roman"/>
        <family val="1"/>
      </rPr>
      <t>(91+92+93+96)</t>
    </r>
  </si>
  <si>
    <t>1. Költségvetési passzív függő elszámolások (481.)</t>
  </si>
  <si>
    <t>2. Költségvetési passzív átfutó elszámolások (482.,485., 486.)</t>
  </si>
  <si>
    <t>3. Költségvetési passzív kiegyenlítő elszámolások (483-484.)</t>
  </si>
  <si>
    <t>4. Költségvetésen kívüli passzív pénzügyi elszámolások (488)</t>
  </si>
  <si>
    <t>Ebből: - Költségvetésen kívüli letéti elszámolások (488-ból)</t>
  </si>
  <si>
    <t>- Nemzetközi támogatási programok deviza elszámolása (488-ból)</t>
  </si>
  <si>
    <r>
      <t xml:space="preserve">III. Egyéb passzív pénzügyi elszámolások összesen </t>
    </r>
    <r>
      <rPr>
        <b/>
        <sz val="12"/>
        <rFont val="Times New Roman"/>
        <family val="1"/>
      </rPr>
      <t>(116+...+119)</t>
    </r>
  </si>
  <si>
    <r>
      <t xml:space="preserve">F) KÖTELEZETTSÉGEK ÖSSZESEN </t>
    </r>
    <r>
      <rPr>
        <b/>
        <sz val="12"/>
        <rFont val="Times New Roman"/>
        <family val="1"/>
      </rPr>
      <t>(90+115+122)</t>
    </r>
  </si>
  <si>
    <t>FORRÁSOK ÖSSZESEN (67+83+123)</t>
  </si>
  <si>
    <t>Eseti ellátások  teljesítése 2009. év</t>
  </si>
  <si>
    <t>2009. évi módosított előir.</t>
  </si>
  <si>
    <t>Teljesítés</t>
  </si>
  <si>
    <t>Ft/fő</t>
  </si>
  <si>
    <t>Ellátottak száma</t>
  </si>
  <si>
    <t>Éves kiadás</t>
  </si>
  <si>
    <t>I. Pénzbeli ellátások</t>
  </si>
  <si>
    <t xml:space="preserve">   Átmeneti segélyek</t>
  </si>
  <si>
    <t xml:space="preserve"> - nyugdíjasok 1xi támogatása</t>
  </si>
  <si>
    <t xml:space="preserve">  - egyéb átmeneti segélyek</t>
  </si>
  <si>
    <t xml:space="preserve">   Temetési segély</t>
  </si>
  <si>
    <t xml:space="preserve"> - 1xi gyermekvédelmi támogatás</t>
  </si>
  <si>
    <t xml:space="preserve"> - Óvodáztatási támogatás</t>
  </si>
  <si>
    <t xml:space="preserve">  - Közlekedési támogatás</t>
  </si>
  <si>
    <t xml:space="preserve"> - Otthonteremtési támogatás</t>
  </si>
  <si>
    <t>Pénzbeli ellátások összesen:</t>
  </si>
  <si>
    <t>II. Természetbeli ellátások</t>
  </si>
  <si>
    <t xml:space="preserve">   Étkezési támogatás önkormányzati rend. alapján</t>
  </si>
  <si>
    <t xml:space="preserve">   Lakossági szemétszállítás ktg. Támogatás</t>
  </si>
  <si>
    <t xml:space="preserve">   Köztemetés</t>
  </si>
  <si>
    <t xml:space="preserve">   Közgyógyigazolvány</t>
  </si>
  <si>
    <t>Természetbeli ellátások összesen:</t>
  </si>
  <si>
    <t>Eseti ellátások összesen:</t>
  </si>
  <si>
    <t>Rendszeres szociális ellátások teljesítése  2009. év</t>
  </si>
  <si>
    <t>2009. évi terv adatok</t>
  </si>
  <si>
    <t>2009. évi tény adatok</t>
  </si>
  <si>
    <t>80%-os támoga-tás</t>
  </si>
  <si>
    <t>90%-os támoga-tás</t>
  </si>
  <si>
    <t>támog. Ft/fő/ hó</t>
  </si>
  <si>
    <t>Ellátot-tak száma</t>
  </si>
  <si>
    <t>Időskorúak járadéka</t>
  </si>
  <si>
    <t>Időskorúak járadéka egyedül álló 95%</t>
  </si>
  <si>
    <t>Időskorúak járadéka bentlakó 95%</t>
  </si>
  <si>
    <t>Időskorúak járadéka 75 év felett 130%</t>
  </si>
  <si>
    <t>Rendszeres szoc. ell. aktív korú Szt.37/A (1.)b.</t>
  </si>
  <si>
    <t>Rendszeres szoc. ell. egyéb jogc. Szt.37/A (1.)a.</t>
  </si>
  <si>
    <t>Tám. álláskereső Szt. 37/A§ (1.) c.</t>
  </si>
  <si>
    <t>Rendszeres szoc. ell. Szt. 37/E§ (3.)</t>
  </si>
  <si>
    <t>Rendszeres szoc. ell. Szt. 37/H§ (2.)</t>
  </si>
  <si>
    <t>Rendszeres szoc.segély Szt.37/B.§.(1)a)</t>
  </si>
  <si>
    <t>Rendszeres szoc.segély Szt.37/B.§.(1)b)</t>
  </si>
  <si>
    <t>Rendszeres szoc.segély Szt.37/B.§.(1)c)</t>
  </si>
  <si>
    <t>Rendelkezésre állási támogatás 37/C§ (4)</t>
  </si>
  <si>
    <t>Ápolási díj /Sztv. 41. § (1) 44.§a) 100%-os</t>
  </si>
  <si>
    <t>Ápolási díj /Sztv. 41. § (1)/ nyugd. b. jár 24%</t>
  </si>
  <si>
    <t>Ápolási díj Szt. 43/A§ (1) 44§b)130%-os</t>
  </si>
  <si>
    <t>Ápolási díj Szt. 43/A§ (1) nyugd. b. jár. 24%</t>
  </si>
  <si>
    <t>Ápolási díj Szt. 43/A§ (4) szakvélemény</t>
  </si>
  <si>
    <t>Ápolási díj Szt. 43/B§ (1) 80%-os</t>
  </si>
  <si>
    <t>Ápolási díj Szt. 43/B§ (1) nyugd. b. jár. 24%</t>
  </si>
  <si>
    <t>Lakásfenntartási tám./ Sztv. 38§.(2) (5)/</t>
  </si>
  <si>
    <t>Összesenből: rendszeres szociális ellátás:</t>
  </si>
  <si>
    <t xml:space="preserve">                       munkaadót terhelő járulék</t>
  </si>
  <si>
    <t>Pénzeszköz átadási terv teljesítése 2009. év</t>
  </si>
  <si>
    <t>Eredeti előirányzat</t>
  </si>
  <si>
    <t>Módosított előirányzat</t>
  </si>
  <si>
    <t>tény/mód.ei. %</t>
  </si>
  <si>
    <t>Pénzeszköz átadás áh-on kívülre összesen</t>
  </si>
  <si>
    <t>Működési c. pénzeszköz átadás  össz.</t>
  </si>
  <si>
    <t>Működési c. pénzeszköz átadás non-profit sz.nek össz.</t>
  </si>
  <si>
    <t>Vámospércs Polgárőrség</t>
  </si>
  <si>
    <t xml:space="preserve">Öregfiúk szállítás </t>
  </si>
  <si>
    <t>Bocskai Sportegyesület</t>
  </si>
  <si>
    <t>Tűzoltó Egyesület működési</t>
  </si>
  <si>
    <t>Tűzoltó Egyesület köztestületi tűzoltóság kialakításához</t>
  </si>
  <si>
    <t>DSK (Iskola)</t>
  </si>
  <si>
    <t>Pircsike Egyesület</t>
  </si>
  <si>
    <t>Múlt és Jövő Egyesület</t>
  </si>
  <si>
    <t>HBm. Katasztrófavédelmi Igazgatóság</t>
  </si>
  <si>
    <t>HBm. Terület Fejlesztési Tanács</t>
  </si>
  <si>
    <t>Kistérségi Társulás</t>
  </si>
  <si>
    <t>Közoktatási Közalapítvány</t>
  </si>
  <si>
    <t>Vámos Települések Szövetsége</t>
  </si>
  <si>
    <t xml:space="preserve">Asztalitenisz Egyesület </t>
  </si>
  <si>
    <t xml:space="preserve">Református Egyház </t>
  </si>
  <si>
    <t>Katolikus Egyház</t>
  </si>
  <si>
    <t>Baptista Egyház</t>
  </si>
  <si>
    <t>Tormaút Egyesület</t>
  </si>
  <si>
    <t>Vámospércs Gyermekeiért Közalapítvány</t>
  </si>
  <si>
    <t xml:space="preserve"> Mellkasi sebészet</t>
  </si>
  <si>
    <t>DAHUT</t>
  </si>
  <si>
    <t>Jászói Nyári Egyetem</t>
  </si>
  <si>
    <t>Egyéb évközben benyújtásra kerülő igényre</t>
  </si>
  <si>
    <t>Fel nem osztott keret</t>
  </si>
  <si>
    <t>Aranykesztyű Boksz Egyesület</t>
  </si>
  <si>
    <t>Vp.-Ny.adony Köztestületi Tűzoltóságnak</t>
  </si>
  <si>
    <t xml:space="preserve">Vámospércs Humánszolgáltató KHT-nak </t>
  </si>
  <si>
    <t xml:space="preserve">Lakosságnak átadott műk.c.pé.eszk. </t>
  </si>
  <si>
    <t>Papp S. szupermaraton</t>
  </si>
  <si>
    <t>Államháztartáson belüli támogatások összesen</t>
  </si>
  <si>
    <t>Államháztartáson belüli működési támog. összesen</t>
  </si>
  <si>
    <t>Katasztrófa védelemnek 2006. évi vis maior vi.fiz.</t>
  </si>
  <si>
    <t>Támogatásértékű kiadás Önkormányzati szerv</t>
  </si>
  <si>
    <t>Cigány Kisebbségi Önkormányzatnak Vp. Önk.-tól</t>
  </si>
  <si>
    <t>Cigány Kisebbségi Önkormányzattól Vp. Önk.-nak</t>
  </si>
  <si>
    <t xml:space="preserve">Újléta Önk.-nak Ált. Isk. étkezési normatíva </t>
  </si>
  <si>
    <t xml:space="preserve">Újléta Önk.-nak Óvoda étkezési normatíva </t>
  </si>
  <si>
    <t xml:space="preserve">Újléta Óv.-nak 2009. I.f.évi elszámolás alapján </t>
  </si>
  <si>
    <t xml:space="preserve">Újléta Önk.-nak 2007-2008.évi elszámolás alapján </t>
  </si>
  <si>
    <t>Újléta Önk.-nak Mikrotérségi Társulás többlet bevétel</t>
  </si>
  <si>
    <t>Ny.falva Önk.-nak Mikrotérségi Társulás többlet bevétel</t>
  </si>
  <si>
    <t>Ny.acsád Önk-nak logopédiai ellátás tám. átut.</t>
  </si>
  <si>
    <t>H.szoboszló Önk.-nak IKER program működtetésére</t>
  </si>
  <si>
    <t>HB Megyei Önkormányzatnak Bursa Hungarica</t>
  </si>
  <si>
    <t>Támogatásértékű kiadás Kistérségi Társulás</t>
  </si>
  <si>
    <t>Hajdúhadházi Kistérségi Társulás éves hozzájárulás</t>
  </si>
  <si>
    <t>Hajdúhadházi Kistérségi Társulás 2008. évi elszám. Jelző</t>
  </si>
  <si>
    <t>Hajdúhadházi Kistérségi Társulás 2008. évi elszám. Logop.</t>
  </si>
  <si>
    <t>Hajdúhadházi Kist. Társ. 2008. évi elszám. Gyógytesnev.</t>
  </si>
  <si>
    <t>Hajdúhadházi Kistérségi Társulás Jégvirág program</t>
  </si>
  <si>
    <t>Felhalmozási célú pénzeszköz átadás államh.kívülre</t>
  </si>
  <si>
    <t>Lakosságnak közműfejlesztésre</t>
  </si>
  <si>
    <t>Non profit szervnek DAÖTT</t>
  </si>
  <si>
    <t>PÉNZESZKÖZ ÁTADÁS, TÁM.ÉRT.KIAD. ÖSSZESEN</t>
  </si>
  <si>
    <t>Pénzeszköz átvételi terv teljesítése 2009. év</t>
  </si>
  <si>
    <t>Tény</t>
  </si>
  <si>
    <t>Pénzeszköz átvétel államháztartáson kívülről</t>
  </si>
  <si>
    <t>Felhalmozási célú</t>
  </si>
  <si>
    <t>Lakosságtól átvett pénzeszköz közműfejlesztésre</t>
  </si>
  <si>
    <t xml:space="preserve"> - Váci M. út felújításra</t>
  </si>
  <si>
    <t xml:space="preserve"> - Görgey út felújításra</t>
  </si>
  <si>
    <t xml:space="preserve">Működési célú </t>
  </si>
  <si>
    <t xml:space="preserve">HBM Közoktatási Közalapítványtól Vp.iskola </t>
  </si>
  <si>
    <t>EU-ROMA Egyesülettől Vámostel. Találkozóra</t>
  </si>
  <si>
    <t>Vámostel. Találkozóra Vámügyi Szövetségtől</t>
  </si>
  <si>
    <t>Vámostel. Találkozóra adomány</t>
  </si>
  <si>
    <t>Művésztelep támogatás</t>
  </si>
  <si>
    <t>HBM Közoktatási Közalapítványtól Vp.óv.</t>
  </si>
  <si>
    <t>Működési célú pe.átvétel háztartásoktól</t>
  </si>
  <si>
    <t>Belvízkár támogatás visszafizetése</t>
  </si>
  <si>
    <t>Működési célú támogatásértékű bevételek</t>
  </si>
  <si>
    <t>államháztartáson belülről</t>
  </si>
  <si>
    <t>Hadházi Többcélú Kistérségi Társulástól szoc.feladatokra</t>
  </si>
  <si>
    <t>Házi segítségnyújtás</t>
  </si>
  <si>
    <t xml:space="preserve"> - Vámospércs</t>
  </si>
  <si>
    <t xml:space="preserve"> - Nyírmártonfalva</t>
  </si>
  <si>
    <t xml:space="preserve"> - Fülöp</t>
  </si>
  <si>
    <t xml:space="preserve"> - Újléta</t>
  </si>
  <si>
    <t>Házi segítségnyújtás összesen</t>
  </si>
  <si>
    <t xml:space="preserve">Jelzőrendsz. h.s.ny. </t>
  </si>
  <si>
    <t xml:space="preserve"> - Nyírábrány</t>
  </si>
  <si>
    <t>Jelzőrendsz. h.s.ny. összesen</t>
  </si>
  <si>
    <t>Hadházi Többcélú Kistérségi Társulástól családs. feladatokra</t>
  </si>
  <si>
    <t xml:space="preserve"> - Nyíracsád</t>
  </si>
  <si>
    <t>Hadházi Többcélú Kistérs. Társ-tól gyermekj.. feladatokra</t>
  </si>
  <si>
    <t>Hadházi Többcélú Kistérségi Társulástól oktatási feladatokra</t>
  </si>
  <si>
    <t xml:space="preserve"> - logopédiára Vámospércs óvoda</t>
  </si>
  <si>
    <t xml:space="preserve"> - logopédiára Vámospércs iskola</t>
  </si>
  <si>
    <t xml:space="preserve"> - logopédiára Újléta</t>
  </si>
  <si>
    <t xml:space="preserve"> - logopédiára Nyírábrány</t>
  </si>
  <si>
    <t xml:space="preserve"> - logopédiára Nyíracsád</t>
  </si>
  <si>
    <t xml:space="preserve"> - logopédiára Nyírmártonfalva</t>
  </si>
  <si>
    <t xml:space="preserve"> - logopédiára Fülöp</t>
  </si>
  <si>
    <t xml:space="preserve"> Logopédíia összesen</t>
  </si>
  <si>
    <t xml:space="preserve"> - gyógytestnevelés Vámospércs</t>
  </si>
  <si>
    <t xml:space="preserve"> - gyógytestnevelés Újléta</t>
  </si>
  <si>
    <t xml:space="preserve"> - gyógytestnevelés Nyírábrány</t>
  </si>
  <si>
    <t xml:space="preserve"> - gyógytestnevelés Nyíracsád</t>
  </si>
  <si>
    <t xml:space="preserve"> - gyógytestnevelés Nyírmártonfalva</t>
  </si>
  <si>
    <t xml:space="preserve"> - gyógytestnevelés Fülöp</t>
  </si>
  <si>
    <t xml:space="preserve"> Gyógytestnevelés összesen</t>
  </si>
  <si>
    <t>Újléta Óvoda tagintézményi támogatás</t>
  </si>
  <si>
    <t>Újléta Óvoda kistelepülési tagintézményi támogatás</t>
  </si>
  <si>
    <t>Újléta Óvoda tagintézményi támogatás 2008. évi elszám.</t>
  </si>
  <si>
    <t>Vp. Óvoda társulásba bejáró gyerekek támogatása</t>
  </si>
  <si>
    <t>Vp. Iskola társulásba bejáró gyerekek támogatása</t>
  </si>
  <si>
    <t>Újléta Iskola társulásba bejáró gyerekek támogatása</t>
  </si>
  <si>
    <t xml:space="preserve"> Kistérségi Társulástól összesen</t>
  </si>
  <si>
    <t>Önkormányzattól kapott támogatásértékű bevételek</t>
  </si>
  <si>
    <t>Újléta Önkormányzattól Közokt.Társuláshoz</t>
  </si>
  <si>
    <t>Újléta Önk.-tól Közokt. Társuláshoz (óvoda)</t>
  </si>
  <si>
    <t>Ny.falva Önkormányzattól Családs.mikrot. társuláshoz</t>
  </si>
  <si>
    <t>Fülöp Önkormányzattól Családs.mikrot. társuláshoz</t>
  </si>
  <si>
    <t>Újléta Önkormányzattól Családs.mikrot. társuláshoz</t>
  </si>
  <si>
    <t>Ny.acsád Önkormányzattól Mikrotérségi társuláshoz</t>
  </si>
  <si>
    <t>HBM Önkormányzattól kapott tám Vp. Iskola</t>
  </si>
  <si>
    <t>HBM Önkormányzattól kapott tám Vp. Óv.</t>
  </si>
  <si>
    <t>HBM Önkormányzattól kapott tám. Műv. H</t>
  </si>
  <si>
    <t>CKÖ-nek Vp. Önkormányzattól</t>
  </si>
  <si>
    <t xml:space="preserve">CKÖ-től Vp. Önkormányzatnak </t>
  </si>
  <si>
    <t>CKÖ-től Vp. Önkormányzatnak Erdei iskola</t>
  </si>
  <si>
    <t>Önkormányzattól összesen</t>
  </si>
  <si>
    <t xml:space="preserve">Fejezeti kezeléstől átvett működési bevétel </t>
  </si>
  <si>
    <t>Útravaló ösztöndíj program (Isk.)</t>
  </si>
  <si>
    <t>Vámostelepülések találkozójára tám.</t>
  </si>
  <si>
    <t>gyermek alkotótábor tám. Nemzeti Kult. A.-tól</t>
  </si>
  <si>
    <t>Támogató szolgálat (Vp.,Ny.ábr.,Nyfalva, Fülöp, Újléta)</t>
  </si>
  <si>
    <t>HBM Önkormányzat Európai Parlamenti választás</t>
  </si>
  <si>
    <t>AVOP 3.5.2.-2006. Családsegítő pályázat tám.</t>
  </si>
  <si>
    <t>Hazai pályázati forrásból kapott támogatás összesen</t>
  </si>
  <si>
    <t>szakértői díj</t>
  </si>
  <si>
    <t>2008.évi.jöv.kül.visszaosztás</t>
  </si>
  <si>
    <t>Otthonteremtési támogatás</t>
  </si>
  <si>
    <t>Gyermektartásdíj megelőlegezés</t>
  </si>
  <si>
    <t>Közlekedési támogatás</t>
  </si>
  <si>
    <t>eseti gyermekvédelmi támogatás (két alkalommal)</t>
  </si>
  <si>
    <t>Hazai egyéb forrásból kapott támogatás összesen</t>
  </si>
  <si>
    <t>Uniós Támogatás Hefop</t>
  </si>
  <si>
    <t>Uniós Támogatás K.A.T.K.A</t>
  </si>
  <si>
    <t>Uniós Támogatás ÁRVÁCSKA</t>
  </si>
  <si>
    <t>UNIÓS pályázati forrásból kapott támogatás összesen</t>
  </si>
  <si>
    <t>Fejezeti kezeléstől átvett működési bevétel összesen</t>
  </si>
  <si>
    <t>Elkülönített Állami PA-tól közhasznú foglalkoztatásra PH</t>
  </si>
  <si>
    <t>Elkülönített Állami PA-tól közhasznú fogl. Szoc.Sz.K.</t>
  </si>
  <si>
    <t>Elkülönített Állami PA-tól közhasznú fogl. Műv.h.</t>
  </si>
  <si>
    <t>Elkülönített Állami PA-tól közhasznú fogl. VP. Óv.</t>
  </si>
  <si>
    <t>Elkülönített Állami PA-tól közhasznú fogl. VP. ISK.</t>
  </si>
  <si>
    <t>Elkülönített Állami PA-tól közhasznú fogl. Újl.. ISK.</t>
  </si>
  <si>
    <t>Elkülönített Állami PA-tól közhasznú foglalkoztatásra Össz.</t>
  </si>
  <si>
    <t>Felhalmozási célú támogatásértékű bevételek</t>
  </si>
  <si>
    <t>Szakorvosi rendelő építése</t>
  </si>
  <si>
    <t>Városi közösségi terek ÉAOP-2007-5.1.1/E</t>
  </si>
  <si>
    <t>Vp.-Ny.falva szennyvíztisztító kiépítése</t>
  </si>
  <si>
    <t>Görgey u. felújítás</t>
  </si>
  <si>
    <t>Fejezeti kezelésből kapott fejlesztési támogatás ö.</t>
  </si>
  <si>
    <t>Ny.falva Önk.-tól szennyvízh. Építésre</t>
  </si>
  <si>
    <t>Önkormányzattól kapott fejlesztési támogatás összesen</t>
  </si>
  <si>
    <t>támogatásértékű bevétel összesen</t>
  </si>
  <si>
    <t>PÉNZESZKÖZ ÁTVÉTEL ÖSSZESEN</t>
  </si>
  <si>
    <t>VAGYONKIMUTATÁSA</t>
  </si>
  <si>
    <r>
      <t xml:space="preserve">3. Vagyoni értékű jogok (1113., 1123.) </t>
    </r>
    <r>
      <rPr>
        <b/>
        <i/>
        <sz val="12"/>
        <rFont val="Arial"/>
        <family val="2"/>
      </rPr>
      <t>Nem Tözsvagyon</t>
    </r>
  </si>
  <si>
    <r>
      <t>4. Szellemi termékek (1114., 1124.)</t>
    </r>
    <r>
      <rPr>
        <b/>
        <i/>
        <sz val="12"/>
        <rFont val="Arial"/>
        <family val="2"/>
      </rPr>
      <t>Törzsvagyon</t>
    </r>
  </si>
  <si>
    <r>
      <t xml:space="preserve">    Ebből szellemi termékek (1114., 1124.)</t>
    </r>
    <r>
      <rPr>
        <b/>
        <sz val="12"/>
        <rFont val="Arial"/>
        <family val="2"/>
      </rPr>
      <t>O-ra leirtak állománya</t>
    </r>
  </si>
  <si>
    <r>
      <t xml:space="preserve">I. Immateriális javak összesen </t>
    </r>
    <r>
      <rPr>
        <b/>
        <sz val="12"/>
        <rFont val="Arial"/>
        <family val="2"/>
      </rPr>
      <t>(01+…+07)</t>
    </r>
  </si>
  <si>
    <r>
      <t xml:space="preserve">1.1 Ingatlanok és a kapcsolódó vagyoni értékű jogok (121., 122-ből) </t>
    </r>
    <r>
      <rPr>
        <b/>
        <i/>
        <sz val="12"/>
        <rFont val="Arial"/>
        <family val="2"/>
      </rPr>
      <t>Törzsvagyonba tartozó</t>
    </r>
  </si>
  <si>
    <r>
      <t xml:space="preserve">1.2. Ingatlanok és a kapcsolódó vagyoni értékű jogok (121., 122-ből) </t>
    </r>
    <r>
      <rPr>
        <b/>
        <sz val="12"/>
        <rFont val="Arial"/>
        <family val="2"/>
      </rPr>
      <t>Nem törzsvagyonba tartozó</t>
    </r>
  </si>
  <si>
    <r>
      <t xml:space="preserve">       Ingatlanok és a kapcsolódó vagyoni értékű jogok (121., 122-ből)</t>
    </r>
    <r>
      <rPr>
        <b/>
        <i/>
        <sz val="12"/>
        <rFont val="Arial"/>
        <family val="2"/>
      </rPr>
      <t xml:space="preserve"> O-ra leirt </t>
    </r>
  </si>
  <si>
    <r>
      <t xml:space="preserve">2.1. Gépek, berendezések és felszerelések (1311., 1312-ből) </t>
    </r>
    <r>
      <rPr>
        <b/>
        <i/>
        <sz val="12"/>
        <rFont val="Arial"/>
        <family val="2"/>
      </rPr>
      <t>Törzsvagyonba tartozó</t>
    </r>
  </si>
  <si>
    <r>
      <t xml:space="preserve">2.2. Gépek, berendezések és felszerelések (1311., 1312-ből) </t>
    </r>
    <r>
      <rPr>
        <b/>
        <i/>
        <sz val="12"/>
        <rFont val="Arial"/>
        <family val="2"/>
      </rPr>
      <t>Nem törzsvagyonba tartozó</t>
    </r>
  </si>
  <si>
    <r>
      <t xml:space="preserve">        Ebből gépek, berendezések és felszerelések (1311., 1312-ből) </t>
    </r>
    <r>
      <rPr>
        <b/>
        <i/>
        <sz val="12"/>
        <rFont val="Arial"/>
        <family val="2"/>
      </rPr>
      <t>O-ra leírtak  állománya</t>
    </r>
  </si>
  <si>
    <r>
      <t xml:space="preserve">        Ebből k</t>
    </r>
    <r>
      <rPr>
        <b/>
        <sz val="12"/>
        <rFont val="Arial"/>
        <family val="2"/>
      </rPr>
      <t>épzőművészeti alkotások</t>
    </r>
  </si>
  <si>
    <r>
      <t xml:space="preserve">3.1. Járművek (1321., 1322-ből) </t>
    </r>
    <r>
      <rPr>
        <b/>
        <i/>
        <sz val="12"/>
        <rFont val="Arial"/>
        <family val="2"/>
      </rPr>
      <t>Nem törzsvagyonba tartozó</t>
    </r>
  </si>
  <si>
    <r>
      <t xml:space="preserve">         Ebből járművek (1321., 1322-ből) </t>
    </r>
    <r>
      <rPr>
        <b/>
        <i/>
        <sz val="12"/>
        <rFont val="Arial"/>
        <family val="2"/>
      </rPr>
      <t xml:space="preserve">O-ra leirt </t>
    </r>
  </si>
  <si>
    <r>
      <t xml:space="preserve">II. Tárgyi eszközök összesen </t>
    </r>
    <r>
      <rPr>
        <b/>
        <sz val="12"/>
        <rFont val="Arial"/>
        <family val="2"/>
      </rPr>
      <t>(09+...+22)</t>
    </r>
  </si>
  <si>
    <r>
      <t xml:space="preserve">III. Befektetett pénzügyi eszközök összesen </t>
    </r>
    <r>
      <rPr>
        <b/>
        <sz val="12"/>
        <rFont val="Arial"/>
        <family val="2"/>
      </rPr>
      <t>(24+...+29)</t>
    </r>
  </si>
  <si>
    <r>
      <t xml:space="preserve">IV. Üzemeltetésre, kezelésre átadott, koncesszióba, vagyonkezelésbe adott, illetve vagyonkezelésbe vett eszközök  </t>
    </r>
    <r>
      <rPr>
        <b/>
        <sz val="12"/>
        <rFont val="Arial"/>
        <family val="2"/>
      </rPr>
      <t>(31+…+35)</t>
    </r>
  </si>
  <si>
    <r>
      <t xml:space="preserve">A) BEFEKTETETT ESZKÖZÖK ÖSSZESEN </t>
    </r>
    <r>
      <rPr>
        <b/>
        <sz val="12"/>
        <rFont val="Arial"/>
        <family val="2"/>
      </rPr>
      <t>(08+23+30+36)</t>
    </r>
  </si>
  <si>
    <r>
      <t xml:space="preserve">I. Készletek összesen </t>
    </r>
    <r>
      <rPr>
        <b/>
        <sz val="12"/>
        <rFont val="Arial"/>
        <family val="2"/>
      </rPr>
      <t>(38+    +43)</t>
    </r>
  </si>
  <si>
    <r>
      <t xml:space="preserve">II. Követelések összesen </t>
    </r>
    <r>
      <rPr>
        <b/>
        <sz val="12"/>
        <rFont val="Arial"/>
        <family val="2"/>
      </rPr>
      <t>(45….+54)</t>
    </r>
  </si>
  <si>
    <t>1. Egyéb részesedés (2951., 298-ból)</t>
  </si>
  <si>
    <r>
      <t xml:space="preserve">III. Értékpapírok összesen </t>
    </r>
    <r>
      <rPr>
        <b/>
        <sz val="12"/>
        <rFont val="Arial"/>
        <family val="2"/>
      </rPr>
      <t>(56+57)</t>
    </r>
  </si>
  <si>
    <r>
      <t xml:space="preserve">IV. Pénzeszközök összesen </t>
    </r>
    <r>
      <rPr>
        <b/>
        <sz val="12"/>
        <rFont val="Arial"/>
        <family val="2"/>
      </rPr>
      <t>(59+...+62)</t>
    </r>
  </si>
  <si>
    <r>
      <t xml:space="preserve">V. Egyéb aktív pénzügyi elszámolások összesen </t>
    </r>
    <r>
      <rPr>
        <b/>
        <sz val="12"/>
        <rFont val="Arial"/>
        <family val="2"/>
      </rPr>
      <t>(64+...+67)</t>
    </r>
  </si>
  <si>
    <r>
      <t xml:space="preserve">B) FORGÓESZKÖZÖK ÖSSZESEN </t>
    </r>
    <r>
      <rPr>
        <b/>
        <sz val="12"/>
        <rFont val="Arial"/>
        <family val="2"/>
      </rPr>
      <t>(44+55+58+63+68)</t>
    </r>
  </si>
  <si>
    <r>
      <t xml:space="preserve">D) SAJÁT TŐKE ÖSSZESEN </t>
    </r>
    <r>
      <rPr>
        <b/>
        <sz val="12"/>
        <rFont val="Arial"/>
        <family val="2"/>
      </rPr>
      <t>(64+65+66)</t>
    </r>
  </si>
  <si>
    <r>
      <t xml:space="preserve">1. Költségvetési tartalék elszámolása (4211., 4214.) </t>
    </r>
    <r>
      <rPr>
        <b/>
        <sz val="12"/>
        <rFont val="Arial"/>
        <family val="2"/>
      </rPr>
      <t>(69+70)</t>
    </r>
  </si>
  <si>
    <r>
      <t xml:space="preserve">I. Költségvetési tartalékok összesen </t>
    </r>
    <r>
      <rPr>
        <b/>
        <sz val="12"/>
        <rFont val="Arial"/>
        <family val="2"/>
      </rPr>
      <t>(68+71+...+74)</t>
    </r>
  </si>
  <si>
    <r>
      <t xml:space="preserve">1. Vállalkozási tartalék elszámolása (4221., 4224.) </t>
    </r>
    <r>
      <rPr>
        <b/>
        <sz val="12"/>
        <rFont val="Arial"/>
        <family val="2"/>
      </rPr>
      <t>(77+78)</t>
    </r>
  </si>
  <si>
    <r>
      <t xml:space="preserve">II. Vállalkozási tartalékok összesen </t>
    </r>
    <r>
      <rPr>
        <b/>
        <sz val="12"/>
        <rFont val="Arial"/>
        <family val="2"/>
      </rPr>
      <t>(76+79+80+81)</t>
    </r>
  </si>
  <si>
    <r>
      <t xml:space="preserve">E) TARTALÉKOK ÖSSZESEN </t>
    </r>
    <r>
      <rPr>
        <b/>
        <sz val="12"/>
        <rFont val="Arial"/>
        <family val="2"/>
      </rPr>
      <t>(75+82)</t>
    </r>
  </si>
  <si>
    <r>
      <t xml:space="preserve">I. Hosszú lejáratú kötelezettségek összesen </t>
    </r>
    <r>
      <rPr>
        <b/>
        <sz val="12"/>
        <rFont val="Arial"/>
        <family val="2"/>
      </rPr>
      <t>(84+...+89)</t>
    </r>
  </si>
  <si>
    <r>
      <t xml:space="preserve">3. Kötelezettségek áruszállításból és szolgáltatásból (szállítók) (441-443.) </t>
    </r>
    <r>
      <rPr>
        <b/>
        <sz val="12"/>
        <rFont val="Arial"/>
        <family val="2"/>
      </rPr>
      <t>(94+95)</t>
    </r>
  </si>
  <si>
    <r>
      <t xml:space="preserve">4. Egyéb rövid lejáratú kötelezettségek (43-ból, 444., 445., 446., 447., 449., 4551.)   </t>
    </r>
    <r>
      <rPr>
        <b/>
        <sz val="12"/>
        <rFont val="Arial"/>
        <family val="2"/>
      </rPr>
      <t xml:space="preserve"> (97+…+114)</t>
    </r>
  </si>
  <si>
    <r>
      <t xml:space="preserve">II. Rövid lejáratú kötelezettségek összesen </t>
    </r>
    <r>
      <rPr>
        <b/>
        <sz val="12"/>
        <rFont val="Arial"/>
        <family val="2"/>
      </rPr>
      <t>(91+92+93+96)</t>
    </r>
  </si>
  <si>
    <r>
      <t xml:space="preserve">III. Egyéb passzív pénzügyi elszámolások összesen </t>
    </r>
    <r>
      <rPr>
        <b/>
        <sz val="12"/>
        <rFont val="Arial"/>
        <family val="2"/>
      </rPr>
      <t>(116+...+119)</t>
    </r>
  </si>
  <si>
    <r>
      <t xml:space="preserve">F) KÖTELEZETTSÉGEK ÖSSZESEN </t>
    </r>
    <r>
      <rPr>
        <b/>
        <sz val="12"/>
        <rFont val="Arial"/>
        <family val="2"/>
      </rPr>
      <t>(90+115+122)</t>
    </r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</si>
</sst>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.00"/>
    <numFmt numFmtId="167" formatCode="MMM\ D/"/>
    <numFmt numFmtId="168" formatCode="0.0"/>
    <numFmt numFmtId="169" formatCode="#,###"/>
    <numFmt numFmtId="170" formatCode="0"/>
    <numFmt numFmtId="171" formatCode="#,##0.0"/>
    <numFmt numFmtId="172" formatCode="@"/>
    <numFmt numFmtId="173" formatCode="YYYY\-MM\-DD"/>
    <numFmt numFmtId="174" formatCode="_-* #,##0&quot; Ft&quot;_-;\-* #,##0&quot; Ft&quot;_-;_-* &quot;- Ft&quot;_-;_-@_-"/>
    <numFmt numFmtId="175" formatCode="_-* #,##0.00\ _F_t_-;\-* #,##0.00\ _F_t_-;_-* \-??\ _F_t_-;_-@_-"/>
    <numFmt numFmtId="176" formatCode="_-* #,##0\ _F_t_-;\-* #,##0\ _F_t_-;_-* \-??\ _F_t_-;_-@_-"/>
  </numFmts>
  <fonts count="58">
    <font>
      <sz val="10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1"/>
    </font>
    <font>
      <sz val="8"/>
      <name val="Times New Roman"/>
      <family val="1"/>
    </font>
    <font>
      <sz val="9"/>
      <name val="Times New Roman CE"/>
      <family val="1"/>
    </font>
    <font>
      <vertAlign val="superscript"/>
      <sz val="9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i/>
      <sz val="9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vertAlign val="superscript"/>
      <sz val="10"/>
      <name val="Times New Roman CE"/>
      <family val="1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12"/>
      <name val="Arial CE"/>
      <family val="2"/>
    </font>
    <font>
      <b/>
      <sz val="1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 vertical="center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65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 vertical="top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left" wrapText="1"/>
    </xf>
    <xf numFmtId="164" fontId="3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wrapText="1"/>
    </xf>
    <xf numFmtId="164" fontId="4" fillId="0" borderId="5" xfId="0" applyFont="1" applyBorder="1" applyAlignment="1">
      <alignment horizontal="center" wrapText="1"/>
    </xf>
    <xf numFmtId="164" fontId="4" fillId="0" borderId="5" xfId="0" applyFont="1" applyBorder="1" applyAlignment="1">
      <alignment wrapText="1"/>
    </xf>
    <xf numFmtId="164" fontId="4" fillId="0" borderId="6" xfId="0" applyFont="1" applyBorder="1" applyAlignment="1">
      <alignment wrapText="1"/>
    </xf>
    <xf numFmtId="164" fontId="4" fillId="0" borderId="7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9" fillId="0" borderId="1" xfId="0" applyFont="1" applyBorder="1" applyAlignment="1">
      <alignment horizontal="right"/>
    </xf>
    <xf numFmtId="164" fontId="10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/>
    </xf>
    <xf numFmtId="164" fontId="9" fillId="0" borderId="2" xfId="0" applyFont="1" applyBorder="1" applyAlignment="1">
      <alignment horizontal="center"/>
    </xf>
    <xf numFmtId="164" fontId="10" fillId="0" borderId="2" xfId="0" applyFont="1" applyBorder="1" applyAlignment="1">
      <alignment/>
    </xf>
    <xf numFmtId="165" fontId="10" fillId="0" borderId="2" xfId="0" applyNumberFormat="1" applyFont="1" applyBorder="1" applyAlignment="1">
      <alignment/>
    </xf>
    <xf numFmtId="165" fontId="9" fillId="0" borderId="2" xfId="0" applyNumberFormat="1" applyFont="1" applyBorder="1" applyAlignment="1">
      <alignment/>
    </xf>
    <xf numFmtId="167" fontId="9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/>
    </xf>
    <xf numFmtId="167" fontId="10" fillId="0" borderId="2" xfId="0" applyNumberFormat="1" applyFont="1" applyBorder="1" applyAlignment="1">
      <alignment horizontal="center"/>
    </xf>
    <xf numFmtId="164" fontId="10" fillId="2" borderId="2" xfId="0" applyFont="1" applyFill="1" applyBorder="1" applyAlignment="1">
      <alignment/>
    </xf>
    <xf numFmtId="165" fontId="10" fillId="2" borderId="2" xfId="0" applyNumberFormat="1" applyFont="1" applyFill="1" applyBorder="1" applyAlignment="1">
      <alignment/>
    </xf>
    <xf numFmtId="166" fontId="10" fillId="2" borderId="2" xfId="0" applyNumberFormat="1" applyFont="1" applyFill="1" applyBorder="1" applyAlignment="1">
      <alignment/>
    </xf>
    <xf numFmtId="164" fontId="11" fillId="0" borderId="2" xfId="0" applyFont="1" applyBorder="1" applyAlignment="1">
      <alignment/>
    </xf>
    <xf numFmtId="165" fontId="11" fillId="0" borderId="2" xfId="0" applyNumberFormat="1" applyFont="1" applyBorder="1" applyAlignment="1">
      <alignment/>
    </xf>
    <xf numFmtId="164" fontId="9" fillId="0" borderId="2" xfId="0" applyFont="1" applyBorder="1" applyAlignment="1">
      <alignment horizontal="left"/>
    </xf>
    <xf numFmtId="165" fontId="12" fillId="3" borderId="2" xfId="0" applyNumberFormat="1" applyFont="1" applyFill="1" applyBorder="1" applyAlignment="1">
      <alignment/>
    </xf>
    <xf numFmtId="164" fontId="13" fillId="0" borderId="2" xfId="0" applyFont="1" applyBorder="1" applyAlignment="1">
      <alignment/>
    </xf>
    <xf numFmtId="165" fontId="13" fillId="0" borderId="2" xfId="0" applyNumberFormat="1" applyFont="1" applyBorder="1" applyAlignment="1">
      <alignment/>
    </xf>
    <xf numFmtId="165" fontId="14" fillId="0" borderId="2" xfId="0" applyNumberFormat="1" applyFont="1" applyBorder="1" applyAlignment="1">
      <alignment/>
    </xf>
    <xf numFmtId="165" fontId="13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/>
    </xf>
    <xf numFmtId="165" fontId="16" fillId="0" borderId="2" xfId="0" applyNumberFormat="1" applyFont="1" applyBorder="1" applyAlignment="1">
      <alignment horizontal="center"/>
    </xf>
    <xf numFmtId="165" fontId="16" fillId="0" borderId="2" xfId="0" applyNumberFormat="1" applyFont="1" applyBorder="1" applyAlignment="1">
      <alignment/>
    </xf>
    <xf numFmtId="165" fontId="17" fillId="0" borderId="2" xfId="0" applyNumberFormat="1" applyFont="1" applyBorder="1" applyAlignment="1">
      <alignment/>
    </xf>
    <xf numFmtId="164" fontId="18" fillId="0" borderId="0" xfId="0" applyFont="1" applyAlignment="1">
      <alignment/>
    </xf>
    <xf numFmtId="165" fontId="9" fillId="0" borderId="2" xfId="0" applyNumberFormat="1" applyFont="1" applyBorder="1" applyAlignment="1">
      <alignment horizontal="center"/>
    </xf>
    <xf numFmtId="165" fontId="10" fillId="3" borderId="2" xfId="0" applyNumberFormat="1" applyFont="1" applyFill="1" applyBorder="1" applyAlignment="1">
      <alignment/>
    </xf>
    <xf numFmtId="166" fontId="9" fillId="0" borderId="2" xfId="0" applyNumberFormat="1" applyFont="1" applyBorder="1" applyAlignment="1">
      <alignment/>
    </xf>
    <xf numFmtId="166" fontId="19" fillId="2" borderId="2" xfId="0" applyNumberFormat="1" applyFont="1" applyFill="1" applyBorder="1" applyAlignment="1">
      <alignment/>
    </xf>
    <xf numFmtId="166" fontId="11" fillId="0" borderId="2" xfId="0" applyNumberFormat="1" applyFont="1" applyBorder="1" applyAlignment="1">
      <alignment/>
    </xf>
    <xf numFmtId="166" fontId="12" fillId="3" borderId="2" xfId="0" applyNumberFormat="1" applyFont="1" applyFill="1" applyBorder="1" applyAlignment="1">
      <alignment/>
    </xf>
    <xf numFmtId="166" fontId="10" fillId="3" borderId="2" xfId="0" applyNumberFormat="1" applyFont="1" applyFill="1" applyBorder="1" applyAlignment="1">
      <alignment/>
    </xf>
    <xf numFmtId="164" fontId="20" fillId="0" borderId="0" xfId="23" applyFont="1" applyAlignment="1">
      <alignment horizontal="center"/>
      <protection/>
    </xf>
    <xf numFmtId="164" fontId="21" fillId="0" borderId="0" xfId="23" applyFont="1" applyAlignment="1">
      <alignment shrinkToFit="1"/>
      <protection/>
    </xf>
    <xf numFmtId="164" fontId="21" fillId="0" borderId="0" xfId="23" applyFont="1" applyAlignment="1">
      <alignment wrapText="1"/>
      <protection/>
    </xf>
    <xf numFmtId="164" fontId="21" fillId="0" borderId="0" xfId="23" applyFont="1">
      <alignment/>
      <protection/>
    </xf>
    <xf numFmtId="164" fontId="20" fillId="0" borderId="0" xfId="23" applyFont="1" applyAlignment="1">
      <alignment horizontal="left" vertical="center"/>
      <protection/>
    </xf>
    <xf numFmtId="164" fontId="21" fillId="0" borderId="0" xfId="23" applyFont="1" applyAlignment="1">
      <alignment vertical="center" shrinkToFit="1"/>
      <protection/>
    </xf>
    <xf numFmtId="164" fontId="21" fillId="0" borderId="0" xfId="23" applyFont="1" applyAlignment="1">
      <alignment vertical="center" wrapText="1"/>
      <protection/>
    </xf>
    <xf numFmtId="164" fontId="20" fillId="0" borderId="0" xfId="23" applyFont="1" applyAlignment="1">
      <alignment horizontal="right" vertical="center" wrapText="1"/>
      <protection/>
    </xf>
    <xf numFmtId="164" fontId="22" fillId="0" borderId="0" xfId="23" applyFont="1" applyBorder="1" applyAlignment="1">
      <alignment horizontal="center"/>
      <protection/>
    </xf>
    <xf numFmtId="164" fontId="20" fillId="0" borderId="0" xfId="23" applyFont="1" applyAlignment="1">
      <alignment horizontal="center" vertical="center"/>
      <protection/>
    </xf>
    <xf numFmtId="164" fontId="21" fillId="0" borderId="9" xfId="23" applyFont="1" applyBorder="1" applyAlignment="1">
      <alignment vertical="center" shrinkToFit="1"/>
      <protection/>
    </xf>
    <xf numFmtId="164" fontId="21" fillId="0" borderId="9" xfId="23" applyFont="1" applyBorder="1" applyAlignment="1">
      <alignment vertical="center" wrapText="1"/>
      <protection/>
    </xf>
    <xf numFmtId="164" fontId="23" fillId="0" borderId="0" xfId="23" applyFont="1" applyFill="1" applyAlignment="1">
      <alignment horizontal="right" vertical="center" wrapText="1"/>
      <protection/>
    </xf>
    <xf numFmtId="164" fontId="20" fillId="4" borderId="10" xfId="23" applyFont="1" applyFill="1" applyBorder="1" applyAlignment="1">
      <alignment horizontal="center" vertical="center"/>
      <protection/>
    </xf>
    <xf numFmtId="164" fontId="20" fillId="4" borderId="11" xfId="23" applyFont="1" applyFill="1" applyBorder="1" applyAlignment="1">
      <alignment horizontal="center" vertical="center" shrinkToFit="1"/>
      <protection/>
    </xf>
    <xf numFmtId="164" fontId="20" fillId="4" borderId="12" xfId="23" applyFont="1" applyFill="1" applyBorder="1" applyAlignment="1">
      <alignment horizontal="center" vertical="center" wrapText="1"/>
      <protection/>
    </xf>
    <xf numFmtId="164" fontId="20" fillId="4" borderId="13" xfId="23" applyFont="1" applyFill="1" applyBorder="1" applyAlignment="1">
      <alignment horizontal="center" vertical="center" wrapText="1"/>
      <protection/>
    </xf>
    <xf numFmtId="164" fontId="20" fillId="4" borderId="14" xfId="23" applyFont="1" applyFill="1" applyBorder="1" applyAlignment="1">
      <alignment horizontal="center" wrapText="1"/>
      <protection/>
    </xf>
    <xf numFmtId="164" fontId="20" fillId="4" borderId="13" xfId="23" applyFont="1" applyFill="1" applyBorder="1" applyAlignment="1">
      <alignment horizontal="center" wrapText="1"/>
      <protection/>
    </xf>
    <xf numFmtId="164" fontId="20" fillId="4" borderId="14" xfId="23" applyFont="1" applyFill="1" applyBorder="1" applyAlignment="1">
      <alignment horizontal="center" vertical="center" wrapText="1"/>
      <protection/>
    </xf>
    <xf numFmtId="164" fontId="20" fillId="4" borderId="15" xfId="23" applyFont="1" applyFill="1" applyBorder="1" applyAlignment="1">
      <alignment horizontal="center" vertical="center"/>
      <protection/>
    </xf>
    <xf numFmtId="164" fontId="20" fillId="4" borderId="16" xfId="23" applyFont="1" applyFill="1" applyBorder="1" applyAlignment="1">
      <alignment horizontal="center" vertical="center" shrinkToFit="1"/>
      <protection/>
    </xf>
    <xf numFmtId="164" fontId="20" fillId="4" borderId="3" xfId="23" applyFont="1" applyFill="1" applyBorder="1" applyAlignment="1">
      <alignment horizontal="center" vertical="center" wrapText="1"/>
      <protection/>
    </xf>
    <xf numFmtId="164" fontId="20" fillId="4" borderId="5" xfId="23" applyFont="1" applyFill="1" applyBorder="1" applyAlignment="1">
      <alignment horizontal="center" vertical="center" wrapText="1"/>
      <protection/>
    </xf>
    <xf numFmtId="164" fontId="20" fillId="4" borderId="3" xfId="23" applyFont="1" applyFill="1" applyBorder="1" applyAlignment="1">
      <alignment horizontal="center" wrapText="1"/>
      <protection/>
    </xf>
    <xf numFmtId="164" fontId="20" fillId="4" borderId="17" xfId="23" applyFont="1" applyFill="1" applyBorder="1" applyAlignment="1">
      <alignment horizontal="center" vertical="center"/>
      <protection/>
    </xf>
    <xf numFmtId="164" fontId="20" fillId="4" borderId="16" xfId="23" applyFont="1" applyFill="1" applyBorder="1" applyAlignment="1">
      <alignment horizontal="center" vertical="center" wrapText="1"/>
      <protection/>
    </xf>
    <xf numFmtId="164" fontId="20" fillId="4" borderId="18" xfId="23" applyFont="1" applyFill="1" applyBorder="1" applyAlignment="1">
      <alignment horizontal="center" vertical="center" wrapText="1"/>
      <protection/>
    </xf>
    <xf numFmtId="164" fontId="20" fillId="4" borderId="19" xfId="23" applyFont="1" applyFill="1" applyBorder="1" applyAlignment="1">
      <alignment horizontal="center" vertical="center"/>
      <protection/>
    </xf>
    <xf numFmtId="164" fontId="20" fillId="0" borderId="11" xfId="23" applyFont="1" applyBorder="1" applyAlignment="1">
      <alignment vertical="center"/>
      <protection/>
    </xf>
    <xf numFmtId="164" fontId="20" fillId="0" borderId="20" xfId="23" applyFont="1" applyBorder="1" applyAlignment="1">
      <alignment wrapText="1"/>
      <protection/>
    </xf>
    <xf numFmtId="165" fontId="20" fillId="0" borderId="20" xfId="23" applyNumberFormat="1" applyFont="1" applyBorder="1" applyAlignment="1">
      <alignment horizontal="center" wrapText="1"/>
      <protection/>
    </xf>
    <xf numFmtId="164" fontId="20" fillId="0" borderId="20" xfId="23" applyFont="1" applyBorder="1" applyAlignment="1">
      <alignment horizontal="center" wrapText="1"/>
      <protection/>
    </xf>
    <xf numFmtId="165" fontId="20" fillId="0" borderId="20" xfId="23" applyNumberFormat="1" applyFont="1" applyBorder="1" applyAlignment="1">
      <alignment wrapText="1"/>
      <protection/>
    </xf>
    <xf numFmtId="165" fontId="20" fillId="0" borderId="20" xfId="23" applyNumberFormat="1" applyFont="1" applyFill="1" applyBorder="1" applyAlignment="1">
      <alignment wrapText="1"/>
      <protection/>
    </xf>
    <xf numFmtId="165" fontId="20" fillId="0" borderId="21" xfId="23" applyNumberFormat="1" applyFont="1" applyBorder="1" applyAlignment="1">
      <alignment wrapText="1"/>
      <protection/>
    </xf>
    <xf numFmtId="164" fontId="20" fillId="4" borderId="22" xfId="23" applyFont="1" applyFill="1" applyBorder="1" applyAlignment="1">
      <alignment horizontal="center" vertical="center"/>
      <protection/>
    </xf>
    <xf numFmtId="168" fontId="20" fillId="0" borderId="2" xfId="23" applyNumberFormat="1" applyFont="1" applyFill="1" applyBorder="1" applyAlignment="1">
      <alignment vertical="center" wrapText="1"/>
      <protection/>
    </xf>
    <xf numFmtId="164" fontId="20" fillId="0" borderId="2" xfId="23" applyFont="1" applyBorder="1" applyAlignment="1">
      <alignment wrapText="1"/>
      <protection/>
    </xf>
    <xf numFmtId="165" fontId="20" fillId="0" borderId="2" xfId="23" applyNumberFormat="1" applyFont="1" applyBorder="1" applyAlignment="1">
      <alignment horizontal="center" wrapText="1"/>
      <protection/>
    </xf>
    <xf numFmtId="164" fontId="20" fillId="0" borderId="2" xfId="23" applyFont="1" applyBorder="1" applyAlignment="1">
      <alignment horizontal="center" wrapText="1"/>
      <protection/>
    </xf>
    <xf numFmtId="165" fontId="20" fillId="0" borderId="2" xfId="23" applyNumberFormat="1" applyFont="1" applyBorder="1" applyAlignment="1">
      <alignment wrapText="1"/>
      <protection/>
    </xf>
    <xf numFmtId="165" fontId="20" fillId="4" borderId="2" xfId="23" applyNumberFormat="1" applyFont="1" applyFill="1" applyBorder="1" applyAlignment="1">
      <alignment wrapText="1"/>
      <protection/>
    </xf>
    <xf numFmtId="165" fontId="20" fillId="0" borderId="23" xfId="23" applyNumberFormat="1" applyFont="1" applyBorder="1" applyAlignment="1">
      <alignment wrapText="1"/>
      <protection/>
    </xf>
    <xf numFmtId="164" fontId="20" fillId="0" borderId="0" xfId="23" applyFont="1">
      <alignment/>
      <protection/>
    </xf>
    <xf numFmtId="164" fontId="21" fillId="4" borderId="22" xfId="23" applyFont="1" applyFill="1" applyBorder="1" applyAlignment="1">
      <alignment horizontal="center" vertical="center"/>
      <protection/>
    </xf>
    <xf numFmtId="168" fontId="21" fillId="0" borderId="2" xfId="23" applyNumberFormat="1" applyFont="1" applyFill="1" applyBorder="1" applyAlignment="1">
      <alignment vertical="center" wrapText="1"/>
      <protection/>
    </xf>
    <xf numFmtId="165" fontId="21" fillId="0" borderId="2" xfId="23" applyNumberFormat="1" applyFont="1" applyBorder="1" applyAlignment="1">
      <alignment horizontal="right" wrapText="1"/>
      <protection/>
    </xf>
    <xf numFmtId="165" fontId="21" fillId="0" borderId="2" xfId="23" applyNumberFormat="1" applyFont="1" applyBorder="1" applyAlignment="1">
      <alignment horizontal="center" wrapText="1"/>
      <protection/>
    </xf>
    <xf numFmtId="164" fontId="21" fillId="0" borderId="2" xfId="23" applyFont="1" applyBorder="1" applyAlignment="1">
      <alignment horizontal="center" wrapText="1"/>
      <protection/>
    </xf>
    <xf numFmtId="165" fontId="21" fillId="0" borderId="2" xfId="23" applyNumberFormat="1" applyFont="1" applyBorder="1" applyAlignment="1">
      <alignment wrapText="1"/>
      <protection/>
    </xf>
    <xf numFmtId="165" fontId="21" fillId="4" borderId="2" xfId="23" applyNumberFormat="1" applyFont="1" applyFill="1" applyBorder="1" applyAlignment="1">
      <alignment wrapText="1"/>
      <protection/>
    </xf>
    <xf numFmtId="165" fontId="21" fillId="0" borderId="23" xfId="23" applyNumberFormat="1" applyFont="1" applyBorder="1" applyAlignment="1">
      <alignment wrapText="1"/>
      <protection/>
    </xf>
    <xf numFmtId="165" fontId="20" fillId="0" borderId="2" xfId="23" applyNumberFormat="1" applyFont="1" applyBorder="1" applyAlignment="1">
      <alignment horizontal="right" wrapText="1"/>
      <protection/>
    </xf>
    <xf numFmtId="164" fontId="20" fillId="4" borderId="24" xfId="23" applyFont="1" applyFill="1" applyBorder="1" applyAlignment="1">
      <alignment horizontal="center" vertical="center"/>
      <protection/>
    </xf>
    <xf numFmtId="164" fontId="21" fillId="0" borderId="4" xfId="23" applyFont="1" applyBorder="1" applyAlignment="1">
      <alignment vertical="center" wrapText="1" shrinkToFit="1"/>
      <protection/>
    </xf>
    <xf numFmtId="164" fontId="20" fillId="0" borderId="4" xfId="23" applyFont="1" applyBorder="1" applyAlignment="1">
      <alignment horizontal="center" vertical="center" wrapText="1"/>
      <protection/>
    </xf>
    <xf numFmtId="165" fontId="21" fillId="0" borderId="2" xfId="23" applyNumberFormat="1" applyFont="1" applyBorder="1" applyAlignment="1">
      <alignment horizontal="right" vertical="center" wrapText="1"/>
      <protection/>
    </xf>
    <xf numFmtId="164" fontId="20" fillId="4" borderId="25" xfId="23" applyFont="1" applyFill="1" applyBorder="1" applyAlignment="1">
      <alignment horizontal="center"/>
      <protection/>
    </xf>
    <xf numFmtId="164" fontId="20" fillId="4" borderId="26" xfId="23" applyFont="1" applyFill="1" applyBorder="1" applyAlignment="1">
      <alignment horizontal="left" vertical="center"/>
      <protection/>
    </xf>
    <xf numFmtId="164" fontId="20" fillId="4" borderId="21" xfId="23" applyFont="1" applyFill="1" applyBorder="1" applyAlignment="1">
      <alignment horizontal="left" wrapText="1"/>
      <protection/>
    </xf>
    <xf numFmtId="165" fontId="20" fillId="4" borderId="1" xfId="23" applyNumberFormat="1" applyFont="1" applyFill="1" applyBorder="1" applyAlignment="1">
      <alignment horizontal="right" wrapText="1" shrinkToFit="1"/>
      <protection/>
    </xf>
    <xf numFmtId="165" fontId="20" fillId="4" borderId="6" xfId="23" applyNumberFormat="1" applyFont="1" applyFill="1" applyBorder="1" applyAlignment="1">
      <alignment horizontal="right" wrapText="1" shrinkToFit="1"/>
      <protection/>
    </xf>
    <xf numFmtId="165" fontId="20" fillId="4" borderId="27" xfId="23" applyNumberFormat="1" applyFont="1" applyFill="1" applyBorder="1" applyAlignment="1">
      <alignment horizontal="right" wrapText="1" shrinkToFit="1"/>
      <protection/>
    </xf>
    <xf numFmtId="164" fontId="20" fillId="4" borderId="17" xfId="23" applyFont="1" applyFill="1" applyBorder="1" applyAlignment="1">
      <alignment horizontal="center"/>
      <protection/>
    </xf>
    <xf numFmtId="164" fontId="20" fillId="4" borderId="28" xfId="23" applyFont="1" applyFill="1" applyBorder="1" applyAlignment="1">
      <alignment wrapText="1"/>
      <protection/>
    </xf>
    <xf numFmtId="165" fontId="20" fillId="4" borderId="29" xfId="23" applyNumberFormat="1" applyFont="1" applyFill="1" applyBorder="1" applyAlignment="1">
      <alignment horizontal="center" vertical="center" wrapText="1"/>
      <protection/>
    </xf>
    <xf numFmtId="165" fontId="20" fillId="4" borderId="16" xfId="23" applyNumberFormat="1" applyFont="1" applyFill="1" applyBorder="1" applyAlignment="1">
      <alignment horizontal="center" vertical="center" wrapText="1"/>
      <protection/>
    </xf>
    <xf numFmtId="165" fontId="20" fillId="4" borderId="30" xfId="23" applyNumberFormat="1" applyFont="1" applyFill="1" applyBorder="1" applyAlignment="1">
      <alignment horizontal="center" vertical="center" wrapText="1"/>
      <protection/>
    </xf>
    <xf numFmtId="164" fontId="20" fillId="0" borderId="31" xfId="23" applyFont="1" applyBorder="1" applyAlignment="1">
      <alignment horizontal="center" vertical="center"/>
      <protection/>
    </xf>
    <xf numFmtId="164" fontId="20" fillId="4" borderId="19" xfId="23" applyFont="1" applyFill="1" applyBorder="1" applyAlignment="1">
      <alignment horizontal="center"/>
      <protection/>
    </xf>
    <xf numFmtId="164" fontId="20" fillId="4" borderId="14" xfId="23" applyFont="1" applyFill="1" applyBorder="1" applyAlignment="1">
      <alignment horizontal="left" shrinkToFit="1"/>
      <protection/>
    </xf>
    <xf numFmtId="164" fontId="20" fillId="4" borderId="32" xfId="23" applyFont="1" applyFill="1" applyBorder="1" applyAlignment="1">
      <alignment wrapText="1"/>
      <protection/>
    </xf>
    <xf numFmtId="165" fontId="20" fillId="4" borderId="32" xfId="23" applyNumberFormat="1" applyFont="1" applyFill="1" applyBorder="1" applyAlignment="1">
      <alignment horizontal="center" wrapText="1"/>
      <protection/>
    </xf>
    <xf numFmtId="164" fontId="20" fillId="4" borderId="32" xfId="23" applyFont="1" applyFill="1" applyBorder="1" applyAlignment="1">
      <alignment horizontal="center" wrapText="1"/>
      <protection/>
    </xf>
    <xf numFmtId="165" fontId="20" fillId="4" borderId="32" xfId="23" applyNumberFormat="1" applyFont="1" applyFill="1" applyBorder="1" applyAlignment="1">
      <alignment wrapText="1"/>
      <protection/>
    </xf>
    <xf numFmtId="165" fontId="20" fillId="4" borderId="33" xfId="23" applyNumberFormat="1" applyFont="1" applyFill="1" applyBorder="1" applyAlignment="1">
      <alignment wrapText="1"/>
      <protection/>
    </xf>
    <xf numFmtId="164" fontId="20" fillId="4" borderId="22" xfId="23" applyFont="1" applyFill="1" applyBorder="1" applyAlignment="1">
      <alignment horizontal="center"/>
      <protection/>
    </xf>
    <xf numFmtId="164" fontId="21" fillId="0" borderId="2" xfId="22" applyFont="1" applyBorder="1" applyAlignment="1">
      <alignment vertical="center" wrapText="1" shrinkToFit="1"/>
      <protection/>
    </xf>
    <xf numFmtId="164" fontId="20" fillId="0" borderId="2" xfId="23" applyFont="1" applyBorder="1" applyAlignment="1">
      <alignment horizontal="center" vertical="center" wrapText="1"/>
      <protection/>
    </xf>
    <xf numFmtId="165" fontId="24" fillId="0" borderId="2" xfId="23" applyNumberFormat="1" applyFont="1" applyBorder="1" applyAlignment="1">
      <alignment horizontal="right" wrapText="1"/>
      <protection/>
    </xf>
    <xf numFmtId="165" fontId="21" fillId="0" borderId="2" xfId="23" applyNumberFormat="1" applyFont="1" applyBorder="1" applyAlignment="1">
      <alignment horizontal="right" wrapText="1" shrinkToFit="1"/>
      <protection/>
    </xf>
    <xf numFmtId="169" fontId="21" fillId="4" borderId="2" xfId="23" applyNumberFormat="1" applyFont="1" applyFill="1" applyBorder="1" applyAlignment="1">
      <alignment wrapText="1"/>
      <protection/>
    </xf>
    <xf numFmtId="164" fontId="20" fillId="4" borderId="34" xfId="23" applyFont="1" applyFill="1" applyBorder="1" applyAlignment="1">
      <alignment horizontal="center"/>
      <protection/>
    </xf>
    <xf numFmtId="165" fontId="21" fillId="0" borderId="0" xfId="23" applyNumberFormat="1" applyFont="1">
      <alignment/>
      <protection/>
    </xf>
    <xf numFmtId="165" fontId="21" fillId="0" borderId="2" xfId="23" applyNumberFormat="1" applyFont="1" applyBorder="1" applyAlignment="1">
      <alignment wrapText="1" shrinkToFit="1"/>
      <protection/>
    </xf>
    <xf numFmtId="165" fontId="21" fillId="0" borderId="23" xfId="23" applyNumberFormat="1" applyFont="1" applyBorder="1" applyAlignment="1">
      <alignment wrapText="1" shrinkToFit="1"/>
      <protection/>
    </xf>
    <xf numFmtId="165" fontId="21" fillId="0" borderId="23" xfId="23" applyNumberFormat="1" applyFont="1" applyBorder="1" applyAlignment="1">
      <alignment horizontal="right" wrapText="1"/>
      <protection/>
    </xf>
    <xf numFmtId="168" fontId="21" fillId="0" borderId="2" xfId="23" applyNumberFormat="1" applyFont="1" applyFill="1" applyBorder="1" applyAlignment="1">
      <alignment vertical="center" wrapText="1" shrinkToFit="1"/>
      <protection/>
    </xf>
    <xf numFmtId="164" fontId="21" fillId="0" borderId="2" xfId="23" applyFont="1" applyBorder="1" applyAlignment="1">
      <alignment vertical="center" wrapText="1" shrinkToFit="1"/>
      <protection/>
    </xf>
    <xf numFmtId="165" fontId="12" fillId="0" borderId="2" xfId="23" applyNumberFormat="1" applyFont="1" applyBorder="1" applyAlignment="1">
      <alignment wrapText="1"/>
      <protection/>
    </xf>
    <xf numFmtId="165" fontId="25" fillId="0" borderId="2" xfId="23" applyNumberFormat="1" applyFont="1" applyBorder="1" applyAlignment="1">
      <alignment wrapText="1"/>
      <protection/>
    </xf>
    <xf numFmtId="164" fontId="26" fillId="0" borderId="2" xfId="22" applyFont="1" applyBorder="1" applyAlignment="1">
      <alignment vertical="center" wrapText="1" shrinkToFit="1"/>
      <protection/>
    </xf>
    <xf numFmtId="165" fontId="20" fillId="0" borderId="2" xfId="23" applyNumberFormat="1" applyFont="1" applyBorder="1" applyAlignment="1">
      <alignment horizontal="right" vertical="center" wrapText="1"/>
      <protection/>
    </xf>
    <xf numFmtId="164" fontId="20" fillId="5" borderId="22" xfId="23" applyFont="1" applyFill="1" applyBorder="1" applyAlignment="1">
      <alignment horizontal="center"/>
      <protection/>
    </xf>
    <xf numFmtId="164" fontId="20" fillId="5" borderId="4" xfId="23" applyFont="1" applyFill="1" applyBorder="1" applyAlignment="1">
      <alignment vertical="center" wrapText="1" shrinkToFit="1"/>
      <protection/>
    </xf>
    <xf numFmtId="164" fontId="20" fillId="5" borderId="4" xfId="23" applyFont="1" applyFill="1" applyBorder="1" applyAlignment="1">
      <alignment horizontal="center" vertical="center" wrapText="1"/>
      <protection/>
    </xf>
    <xf numFmtId="165" fontId="20" fillId="5" borderId="2" xfId="23" applyNumberFormat="1" applyFont="1" applyFill="1" applyBorder="1" applyAlignment="1">
      <alignment horizontal="right" vertical="center" wrapText="1"/>
      <protection/>
    </xf>
    <xf numFmtId="164" fontId="2" fillId="0" borderId="0" xfId="23" applyFont="1" applyAlignment="1">
      <alignment/>
      <protection/>
    </xf>
    <xf numFmtId="169" fontId="21" fillId="0" borderId="0" xfId="23" applyNumberFormat="1" applyFont="1" applyAlignment="1">
      <alignment wrapText="1"/>
      <protection/>
    </xf>
    <xf numFmtId="164" fontId="21" fillId="0" borderId="0" xfId="23" applyFont="1" applyAlignment="1">
      <alignment vertical="center"/>
      <protection/>
    </xf>
    <xf numFmtId="164" fontId="20" fillId="0" borderId="0" xfId="23" applyFont="1" applyAlignment="1">
      <alignment horizontal="right" vertical="center"/>
      <protection/>
    </xf>
    <xf numFmtId="164" fontId="21" fillId="0" borderId="9" xfId="23" applyFont="1" applyBorder="1" applyAlignment="1">
      <alignment vertical="center"/>
      <protection/>
    </xf>
    <xf numFmtId="164" fontId="23" fillId="0" borderId="0" xfId="23" applyFont="1" applyFill="1" applyAlignment="1">
      <alignment horizontal="right" vertical="center"/>
      <protection/>
    </xf>
    <xf numFmtId="164" fontId="20" fillId="4" borderId="12" xfId="23" applyFont="1" applyFill="1" applyBorder="1" applyAlignment="1">
      <alignment horizontal="center" vertical="center"/>
      <protection/>
    </xf>
    <xf numFmtId="164" fontId="20" fillId="4" borderId="14" xfId="23" applyFont="1" applyFill="1" applyBorder="1" applyAlignment="1">
      <alignment horizontal="center"/>
      <protection/>
    </xf>
    <xf numFmtId="164" fontId="20" fillId="4" borderId="13" xfId="23" applyFont="1" applyFill="1" applyBorder="1" applyAlignment="1">
      <alignment horizontal="center"/>
      <protection/>
    </xf>
    <xf numFmtId="164" fontId="20" fillId="4" borderId="14" xfId="23" applyFont="1" applyFill="1" applyBorder="1" applyAlignment="1">
      <alignment horizontal="center" vertical="center"/>
      <protection/>
    </xf>
    <xf numFmtId="164" fontId="20" fillId="4" borderId="3" xfId="23" applyFont="1" applyFill="1" applyBorder="1" applyAlignment="1">
      <alignment horizontal="center" vertical="center"/>
      <protection/>
    </xf>
    <xf numFmtId="164" fontId="20" fillId="4" borderId="35" xfId="23" applyFont="1" applyFill="1" applyBorder="1" applyAlignment="1">
      <alignment horizontal="center" vertical="center"/>
      <protection/>
    </xf>
    <xf numFmtId="164" fontId="20" fillId="4" borderId="5" xfId="23" applyFont="1" applyFill="1" applyBorder="1" applyAlignment="1">
      <alignment horizontal="center" vertical="center"/>
      <protection/>
    </xf>
    <xf numFmtId="164" fontId="20" fillId="4" borderId="3" xfId="23" applyFont="1" applyFill="1" applyBorder="1" applyAlignment="1">
      <alignment horizontal="center"/>
      <protection/>
    </xf>
    <xf numFmtId="164" fontId="20" fillId="4" borderId="16" xfId="23" applyFont="1" applyFill="1" applyBorder="1" applyAlignment="1">
      <alignment horizontal="center" vertical="center"/>
      <protection/>
    </xf>
    <xf numFmtId="164" fontId="20" fillId="4" borderId="18" xfId="23" applyFont="1" applyFill="1" applyBorder="1" applyAlignment="1">
      <alignment horizontal="center" vertical="center"/>
      <protection/>
    </xf>
    <xf numFmtId="164" fontId="20" fillId="0" borderId="4" xfId="23" applyFont="1" applyBorder="1" applyAlignment="1">
      <alignment vertical="center" wrapText="1" shrinkToFit="1"/>
      <protection/>
    </xf>
    <xf numFmtId="164" fontId="20" fillId="0" borderId="4" xfId="23" applyFont="1" applyBorder="1" applyAlignment="1">
      <alignment horizontal="center" vertical="center"/>
      <protection/>
    </xf>
    <xf numFmtId="165" fontId="20" fillId="0" borderId="13" xfId="23" applyNumberFormat="1" applyFont="1" applyBorder="1" applyAlignment="1">
      <alignment horizontal="right" vertical="center"/>
      <protection/>
    </xf>
    <xf numFmtId="165" fontId="20" fillId="0" borderId="2" xfId="23" applyNumberFormat="1" applyFont="1" applyBorder="1" applyAlignment="1">
      <alignment horizontal="center"/>
      <protection/>
    </xf>
    <xf numFmtId="164" fontId="20" fillId="0" borderId="2" xfId="23" applyFont="1" applyBorder="1" applyAlignment="1">
      <alignment horizontal="center"/>
      <protection/>
    </xf>
    <xf numFmtId="165" fontId="20" fillId="0" borderId="2" xfId="23" applyNumberFormat="1" applyFont="1" applyBorder="1" applyAlignment="1">
      <alignment/>
      <protection/>
    </xf>
    <xf numFmtId="165" fontId="20" fillId="4" borderId="2" xfId="23" applyNumberFormat="1" applyFont="1" applyFill="1" applyBorder="1" applyAlignment="1">
      <alignment/>
      <protection/>
    </xf>
    <xf numFmtId="165" fontId="20" fillId="0" borderId="23" xfId="23" applyNumberFormat="1" applyFont="1" applyBorder="1" applyAlignment="1">
      <alignment/>
      <protection/>
    </xf>
    <xf numFmtId="164" fontId="20" fillId="0" borderId="2" xfId="23" applyFont="1" applyBorder="1" applyAlignment="1">
      <alignment horizontal="center" vertical="center"/>
      <protection/>
    </xf>
    <xf numFmtId="165" fontId="20" fillId="0" borderId="2" xfId="23" applyNumberFormat="1" applyFont="1" applyBorder="1" applyAlignment="1">
      <alignment horizontal="right"/>
      <protection/>
    </xf>
    <xf numFmtId="165" fontId="21" fillId="0" borderId="2" xfId="23" applyNumberFormat="1" applyFont="1" applyBorder="1" applyAlignment="1">
      <alignment horizontal="right"/>
      <protection/>
    </xf>
    <xf numFmtId="165" fontId="21" fillId="0" borderId="2" xfId="23" applyNumberFormat="1" applyFont="1" applyBorder="1" applyAlignment="1">
      <alignment horizontal="right" shrinkToFit="1"/>
      <protection/>
    </xf>
    <xf numFmtId="169" fontId="21" fillId="4" borderId="2" xfId="23" applyNumberFormat="1" applyFont="1" applyFill="1" applyBorder="1" applyAlignment="1">
      <alignment/>
      <protection/>
    </xf>
    <xf numFmtId="165" fontId="21" fillId="4" borderId="2" xfId="23" applyNumberFormat="1" applyFont="1" applyFill="1" applyBorder="1" applyAlignment="1">
      <alignment/>
      <protection/>
    </xf>
    <xf numFmtId="165" fontId="21" fillId="0" borderId="2" xfId="23" applyNumberFormat="1" applyFont="1" applyBorder="1" applyAlignment="1">
      <alignment/>
      <protection/>
    </xf>
    <xf numFmtId="165" fontId="21" fillId="0" borderId="23" xfId="23" applyNumberFormat="1" applyFont="1" applyBorder="1" applyAlignment="1">
      <alignment/>
      <protection/>
    </xf>
    <xf numFmtId="164" fontId="21" fillId="0" borderId="2" xfId="23" applyFont="1" applyBorder="1" applyAlignment="1">
      <alignment horizontal="center"/>
      <protection/>
    </xf>
    <xf numFmtId="165" fontId="21" fillId="0" borderId="2" xfId="23" applyNumberFormat="1" applyFont="1" applyBorder="1" applyAlignment="1">
      <alignment horizontal="center"/>
      <protection/>
    </xf>
    <xf numFmtId="168" fontId="20" fillId="5" borderId="2" xfId="23" applyNumberFormat="1" applyFont="1" applyFill="1" applyBorder="1" applyAlignment="1">
      <alignment vertical="center" wrapText="1"/>
      <protection/>
    </xf>
    <xf numFmtId="164" fontId="20" fillId="5" borderId="2" xfId="23" applyFont="1" applyFill="1" applyBorder="1" applyAlignment="1">
      <alignment horizontal="center"/>
      <protection/>
    </xf>
    <xf numFmtId="165" fontId="20" fillId="5" borderId="2" xfId="23" applyNumberFormat="1" applyFont="1" applyFill="1" applyBorder="1" applyAlignment="1">
      <alignment horizontal="right"/>
      <protection/>
    </xf>
    <xf numFmtId="169" fontId="21" fillId="0" borderId="0" xfId="23" applyNumberFormat="1" applyFont="1">
      <alignment/>
      <protection/>
    </xf>
    <xf numFmtId="164" fontId="28" fillId="0" borderId="0" xfId="23" applyFont="1" applyAlignment="1">
      <alignment horizontal="center"/>
      <protection/>
    </xf>
    <xf numFmtId="164" fontId="2" fillId="0" borderId="0" xfId="23" applyFont="1" applyAlignment="1">
      <alignment shrinkToFit="1"/>
      <protection/>
    </xf>
    <xf numFmtId="164" fontId="2" fillId="0" borderId="0" xfId="23" applyFont="1">
      <alignment/>
      <protection/>
    </xf>
    <xf numFmtId="164" fontId="28" fillId="0" borderId="0" xfId="23" applyFont="1" applyBorder="1" applyAlignment="1">
      <alignment horizontal="center"/>
      <protection/>
    </xf>
    <xf numFmtId="164" fontId="29" fillId="0" borderId="0" xfId="23" applyFont="1">
      <alignment/>
      <protection/>
    </xf>
    <xf numFmtId="164" fontId="28" fillId="0" borderId="0" xfId="23" applyFont="1" applyAlignment="1">
      <alignment horizontal="center" vertical="center"/>
      <protection/>
    </xf>
    <xf numFmtId="164" fontId="2" fillId="0" borderId="9" xfId="23" applyFont="1" applyBorder="1" applyAlignment="1">
      <alignment vertical="center" shrinkToFit="1"/>
      <protection/>
    </xf>
    <xf numFmtId="164" fontId="2" fillId="0" borderId="0" xfId="23" applyFont="1" applyAlignment="1">
      <alignment vertical="center"/>
      <protection/>
    </xf>
    <xf numFmtId="164" fontId="2" fillId="0" borderId="9" xfId="23" applyFont="1" applyBorder="1" applyAlignment="1">
      <alignment vertical="center"/>
      <protection/>
    </xf>
    <xf numFmtId="164" fontId="30" fillId="0" borderId="0" xfId="23" applyFont="1" applyFill="1" applyAlignment="1">
      <alignment horizontal="right" vertical="center"/>
      <protection/>
    </xf>
    <xf numFmtId="164" fontId="28" fillId="4" borderId="10" xfId="23" applyFont="1" applyFill="1" applyBorder="1" applyAlignment="1">
      <alignment horizontal="center" vertical="center"/>
      <protection/>
    </xf>
    <xf numFmtId="164" fontId="28" fillId="4" borderId="36" xfId="23" applyFont="1" applyFill="1" applyBorder="1" applyAlignment="1">
      <alignment horizontal="center" vertical="center" wrapText="1" shrinkToFit="1"/>
      <protection/>
    </xf>
    <xf numFmtId="164" fontId="28" fillId="4" borderId="12" xfId="23" applyFont="1" applyFill="1" applyBorder="1" applyAlignment="1">
      <alignment horizontal="center" vertical="center"/>
      <protection/>
    </xf>
    <xf numFmtId="164" fontId="28" fillId="4" borderId="36" xfId="23" applyFont="1" applyFill="1" applyBorder="1" applyAlignment="1">
      <alignment horizontal="center" vertical="center" wrapText="1"/>
      <protection/>
    </xf>
    <xf numFmtId="164" fontId="28" fillId="4" borderId="14" xfId="23" applyFont="1" applyFill="1" applyBorder="1" applyAlignment="1">
      <alignment horizontal="center"/>
      <protection/>
    </xf>
    <xf numFmtId="164" fontId="28" fillId="4" borderId="13" xfId="23" applyFont="1" applyFill="1" applyBorder="1" applyAlignment="1">
      <alignment horizontal="center"/>
      <protection/>
    </xf>
    <xf numFmtId="164" fontId="28" fillId="4" borderId="37" xfId="23" applyFont="1" applyFill="1" applyBorder="1" applyAlignment="1">
      <alignment horizontal="center" vertical="center"/>
      <protection/>
    </xf>
    <xf numFmtId="164" fontId="26" fillId="0" borderId="0" xfId="23" applyFont="1">
      <alignment/>
      <protection/>
    </xf>
    <xf numFmtId="164" fontId="28" fillId="4" borderId="15" xfId="23" applyFont="1" applyFill="1" applyBorder="1" applyAlignment="1">
      <alignment horizontal="center" vertical="center"/>
      <protection/>
    </xf>
    <xf numFmtId="164" fontId="28" fillId="4" borderId="3" xfId="23" applyFont="1" applyFill="1" applyBorder="1" applyAlignment="1">
      <alignment horizontal="center" vertical="center"/>
      <protection/>
    </xf>
    <xf numFmtId="164" fontId="28" fillId="4" borderId="5" xfId="23" applyFont="1" applyFill="1" applyBorder="1" applyAlignment="1">
      <alignment horizontal="center" vertical="center"/>
      <protection/>
    </xf>
    <xf numFmtId="164" fontId="28" fillId="4" borderId="2" xfId="23" applyFont="1" applyFill="1" applyBorder="1" applyAlignment="1">
      <alignment horizontal="center" vertical="center"/>
      <protection/>
    </xf>
    <xf numFmtId="164" fontId="28" fillId="4" borderId="3" xfId="23" applyFont="1" applyFill="1" applyBorder="1" applyAlignment="1">
      <alignment horizontal="center"/>
      <protection/>
    </xf>
    <xf numFmtId="164" fontId="28" fillId="4" borderId="23" xfId="23" applyFont="1" applyFill="1" applyBorder="1" applyAlignment="1">
      <alignment horizontal="center" vertical="center"/>
      <protection/>
    </xf>
    <xf numFmtId="164" fontId="28" fillId="4" borderId="17" xfId="23" applyFont="1" applyFill="1" applyBorder="1" applyAlignment="1">
      <alignment horizontal="center" vertical="center"/>
      <protection/>
    </xf>
    <xf numFmtId="164" fontId="28" fillId="4" borderId="16" xfId="23" applyFont="1" applyFill="1" applyBorder="1" applyAlignment="1">
      <alignment horizontal="center" vertical="center"/>
      <protection/>
    </xf>
    <xf numFmtId="164" fontId="28" fillId="4" borderId="18" xfId="23" applyFont="1" applyFill="1" applyBorder="1" applyAlignment="1">
      <alignment horizontal="center" vertical="center"/>
      <protection/>
    </xf>
    <xf numFmtId="164" fontId="28" fillId="4" borderId="18" xfId="23" applyFont="1" applyFill="1" applyBorder="1" applyAlignment="1">
      <alignment horizontal="center" vertical="center" wrapText="1"/>
      <protection/>
    </xf>
    <xf numFmtId="164" fontId="28" fillId="4" borderId="30" xfId="23" applyFont="1" applyFill="1" applyBorder="1" applyAlignment="1">
      <alignment horizontal="center" vertical="center" wrapText="1"/>
      <protection/>
    </xf>
    <xf numFmtId="164" fontId="28" fillId="4" borderId="19" xfId="23" applyFont="1" applyFill="1" applyBorder="1" applyAlignment="1">
      <alignment horizontal="center" vertical="center"/>
      <protection/>
    </xf>
    <xf numFmtId="164" fontId="28" fillId="0" borderId="11" xfId="23" applyFont="1" applyBorder="1" applyAlignment="1">
      <alignment vertical="center"/>
      <protection/>
    </xf>
    <xf numFmtId="164" fontId="28" fillId="0" borderId="20" xfId="23" applyFont="1" applyBorder="1" applyAlignment="1">
      <alignment/>
      <protection/>
    </xf>
    <xf numFmtId="165" fontId="28" fillId="0" borderId="20" xfId="23" applyNumberFormat="1" applyFont="1" applyBorder="1" applyAlignment="1">
      <alignment horizontal="center"/>
      <protection/>
    </xf>
    <xf numFmtId="165" fontId="28" fillId="0" borderId="20" xfId="23" applyNumberFormat="1" applyFont="1" applyBorder="1" applyAlignment="1">
      <alignment/>
      <protection/>
    </xf>
    <xf numFmtId="165" fontId="28" fillId="0" borderId="20" xfId="23" applyNumberFormat="1" applyFont="1" applyFill="1" applyBorder="1" applyAlignment="1">
      <alignment/>
      <protection/>
    </xf>
    <xf numFmtId="164" fontId="28" fillId="4" borderId="22" xfId="23" applyFont="1" applyFill="1" applyBorder="1" applyAlignment="1">
      <alignment horizontal="center" vertical="center"/>
      <protection/>
    </xf>
    <xf numFmtId="168" fontId="28" fillId="0" borderId="2" xfId="23" applyNumberFormat="1" applyFont="1" applyFill="1" applyBorder="1" applyAlignment="1">
      <alignment vertical="center" wrapText="1"/>
      <protection/>
    </xf>
    <xf numFmtId="164" fontId="28" fillId="0" borderId="2" xfId="23" applyFont="1" applyBorder="1" applyAlignment="1">
      <alignment/>
      <protection/>
    </xf>
    <xf numFmtId="165" fontId="28" fillId="0" borderId="2" xfId="23" applyNumberFormat="1" applyFont="1" applyBorder="1" applyAlignment="1">
      <alignment horizontal="center"/>
      <protection/>
    </xf>
    <xf numFmtId="164" fontId="28" fillId="0" borderId="2" xfId="23" applyFont="1" applyBorder="1" applyAlignment="1">
      <alignment horizontal="center"/>
      <protection/>
    </xf>
    <xf numFmtId="165" fontId="28" fillId="0" borderId="2" xfId="23" applyNumberFormat="1" applyFont="1" applyBorder="1" applyAlignment="1">
      <alignment/>
      <protection/>
    </xf>
    <xf numFmtId="165" fontId="28" fillId="4" borderId="2" xfId="23" applyNumberFormat="1" applyFont="1" applyFill="1" applyBorder="1" applyAlignment="1">
      <alignment/>
      <protection/>
    </xf>
    <xf numFmtId="164" fontId="28" fillId="0" borderId="0" xfId="23" applyFont="1">
      <alignment/>
      <protection/>
    </xf>
    <xf numFmtId="164" fontId="2" fillId="4" borderId="22" xfId="23" applyFont="1" applyFill="1" applyBorder="1" applyAlignment="1">
      <alignment horizontal="center" vertical="center"/>
      <protection/>
    </xf>
    <xf numFmtId="168" fontId="2" fillId="0" borderId="2" xfId="23" applyNumberFormat="1" applyFont="1" applyFill="1" applyBorder="1" applyAlignment="1">
      <alignment vertical="center" wrapText="1"/>
      <protection/>
    </xf>
    <xf numFmtId="165" fontId="2" fillId="0" borderId="2" xfId="23" applyNumberFormat="1" applyFont="1" applyBorder="1" applyAlignment="1">
      <alignment horizontal="right"/>
      <protection/>
    </xf>
    <xf numFmtId="165" fontId="2" fillId="0" borderId="2" xfId="23" applyNumberFormat="1" applyFont="1" applyBorder="1" applyAlignment="1">
      <alignment horizontal="center"/>
      <protection/>
    </xf>
    <xf numFmtId="164" fontId="2" fillId="0" borderId="2" xfId="23" applyFont="1" applyBorder="1" applyAlignment="1">
      <alignment horizontal="center"/>
      <protection/>
    </xf>
    <xf numFmtId="165" fontId="2" fillId="0" borderId="2" xfId="23" applyNumberFormat="1" applyFont="1" applyBorder="1" applyAlignment="1">
      <alignment/>
      <protection/>
    </xf>
    <xf numFmtId="165" fontId="2" fillId="4" borderId="2" xfId="23" applyNumberFormat="1" applyFont="1" applyFill="1" applyBorder="1" applyAlignment="1">
      <alignment/>
      <protection/>
    </xf>
    <xf numFmtId="165" fontId="28" fillId="0" borderId="2" xfId="23" applyNumberFormat="1" applyFont="1" applyBorder="1" applyAlignment="1">
      <alignment horizontal="right"/>
      <protection/>
    </xf>
    <xf numFmtId="164" fontId="28" fillId="4" borderId="24" xfId="23" applyFont="1" applyFill="1" applyBorder="1" applyAlignment="1">
      <alignment horizontal="center" vertical="center"/>
      <protection/>
    </xf>
    <xf numFmtId="164" fontId="2" fillId="0" borderId="4" xfId="23" applyFont="1" applyBorder="1" applyAlignment="1">
      <alignment vertical="center" wrapText="1" shrinkToFit="1"/>
      <protection/>
    </xf>
    <xf numFmtId="164" fontId="28" fillId="0" borderId="4" xfId="23" applyFont="1" applyBorder="1" applyAlignment="1">
      <alignment horizontal="center" vertical="center"/>
      <protection/>
    </xf>
    <xf numFmtId="165" fontId="2" fillId="0" borderId="2" xfId="23" applyNumberFormat="1" applyFont="1" applyBorder="1" applyAlignment="1">
      <alignment horizontal="right" vertical="center"/>
      <protection/>
    </xf>
    <xf numFmtId="164" fontId="28" fillId="4" borderId="25" xfId="23" applyFont="1" applyFill="1" applyBorder="1" applyAlignment="1">
      <alignment horizontal="center"/>
      <protection/>
    </xf>
    <xf numFmtId="164" fontId="31" fillId="4" borderId="26" xfId="23" applyFont="1" applyFill="1" applyBorder="1" applyAlignment="1">
      <alignment horizontal="left" vertical="center"/>
      <protection/>
    </xf>
    <xf numFmtId="164" fontId="28" fillId="4" borderId="21" xfId="23" applyFont="1" applyFill="1" applyBorder="1" applyAlignment="1">
      <alignment horizontal="left"/>
      <protection/>
    </xf>
    <xf numFmtId="165" fontId="28" fillId="4" borderId="1" xfId="23" applyNumberFormat="1" applyFont="1" applyFill="1" applyBorder="1" applyAlignment="1">
      <alignment horizontal="right" shrinkToFit="1"/>
      <protection/>
    </xf>
    <xf numFmtId="165" fontId="28" fillId="4" borderId="6" xfId="23" applyNumberFormat="1" applyFont="1" applyFill="1" applyBorder="1" applyAlignment="1">
      <alignment horizontal="right" shrinkToFit="1"/>
      <protection/>
    </xf>
    <xf numFmtId="164" fontId="28" fillId="4" borderId="17" xfId="23" applyFont="1" applyFill="1" applyBorder="1" applyAlignment="1">
      <alignment horizontal="center"/>
      <protection/>
    </xf>
    <xf numFmtId="164" fontId="28" fillId="4" borderId="28" xfId="23" applyFont="1" applyFill="1" applyBorder="1" applyAlignment="1">
      <alignment/>
      <protection/>
    </xf>
    <xf numFmtId="165" fontId="28" fillId="4" borderId="38" xfId="23" applyNumberFormat="1" applyFont="1" applyFill="1" applyBorder="1" applyAlignment="1">
      <alignment horizontal="center" vertical="center"/>
      <protection/>
    </xf>
    <xf numFmtId="165" fontId="28" fillId="4" borderId="3" xfId="23" applyNumberFormat="1" applyFont="1" applyFill="1" applyBorder="1" applyAlignment="1">
      <alignment horizontal="center" vertical="center" wrapText="1"/>
      <protection/>
    </xf>
    <xf numFmtId="164" fontId="32" fillId="0" borderId="25" xfId="23" applyFont="1" applyBorder="1" applyAlignment="1">
      <alignment horizontal="center" vertical="center"/>
      <protection/>
    </xf>
    <xf numFmtId="164" fontId="2" fillId="0" borderId="2" xfId="22" applyFont="1" applyBorder="1" applyAlignment="1">
      <alignment vertical="center" wrapText="1" shrinkToFit="1"/>
      <protection/>
    </xf>
    <xf numFmtId="164" fontId="2" fillId="0" borderId="2" xfId="23" applyFont="1" applyBorder="1" applyAlignment="1">
      <alignment horizontal="right"/>
      <protection/>
    </xf>
    <xf numFmtId="164" fontId="33" fillId="0" borderId="0" xfId="23" applyFont="1">
      <alignment/>
      <protection/>
    </xf>
    <xf numFmtId="168" fontId="2" fillId="0" borderId="2" xfId="23" applyNumberFormat="1" applyFont="1" applyFill="1" applyBorder="1" applyAlignment="1">
      <alignment vertical="center" wrapText="1" shrinkToFit="1"/>
      <protection/>
    </xf>
    <xf numFmtId="164" fontId="2" fillId="0" borderId="2" xfId="23" applyFont="1" applyBorder="1" applyAlignment="1">
      <alignment vertical="center" wrapText="1" shrinkToFit="1"/>
      <protection/>
    </xf>
    <xf numFmtId="165" fontId="12" fillId="0" borderId="2" xfId="23" applyNumberFormat="1" applyFont="1" applyBorder="1" applyAlignment="1">
      <alignment/>
      <protection/>
    </xf>
    <xf numFmtId="164" fontId="2" fillId="0" borderId="39" xfId="22" applyFont="1" applyBorder="1" applyAlignment="1">
      <alignment vertical="center" wrapText="1" shrinkToFit="1"/>
      <protection/>
    </xf>
    <xf numFmtId="164" fontId="20" fillId="0" borderId="40" xfId="23" applyFont="1" applyBorder="1" applyAlignment="1">
      <alignment horizontal="center" vertical="center"/>
      <protection/>
    </xf>
    <xf numFmtId="165" fontId="20" fillId="0" borderId="39" xfId="23" applyNumberFormat="1" applyFont="1" applyBorder="1" applyAlignment="1">
      <alignment horizontal="right"/>
      <protection/>
    </xf>
    <xf numFmtId="164" fontId="2" fillId="0" borderId="39" xfId="23" applyFont="1" applyBorder="1" applyAlignment="1">
      <alignment horizontal="right"/>
      <protection/>
    </xf>
    <xf numFmtId="164" fontId="2" fillId="0" borderId="4" xfId="23" applyFont="1" applyBorder="1" applyAlignment="1">
      <alignment horizontal="right"/>
      <protection/>
    </xf>
    <xf numFmtId="164" fontId="28" fillId="5" borderId="41" xfId="23" applyFont="1" applyFill="1" applyBorder="1" applyAlignment="1">
      <alignment horizontal="center"/>
      <protection/>
    </xf>
    <xf numFmtId="164" fontId="28" fillId="5" borderId="35" xfId="23" applyFont="1" applyFill="1" applyBorder="1" applyAlignment="1">
      <alignment horizontal="center" vertical="center" wrapText="1" shrinkToFit="1"/>
      <protection/>
    </xf>
    <xf numFmtId="165" fontId="28" fillId="5" borderId="42" xfId="23" applyNumberFormat="1" applyFont="1" applyFill="1" applyBorder="1" applyAlignment="1">
      <alignment horizontal="center" vertical="center"/>
      <protection/>
    </xf>
    <xf numFmtId="165" fontId="2" fillId="0" borderId="0" xfId="23" applyNumberFormat="1" applyFont="1">
      <alignment/>
      <protection/>
    </xf>
    <xf numFmtId="170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/>
    </xf>
    <xf numFmtId="164" fontId="35" fillId="0" borderId="0" xfId="0" applyFont="1" applyBorder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36" fillId="0" borderId="0" xfId="0" applyFont="1" applyBorder="1" applyAlignment="1">
      <alignment horizontal="center" vertical="center" wrapText="1"/>
    </xf>
    <xf numFmtId="164" fontId="37" fillId="0" borderId="0" xfId="0" applyFont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0" fillId="0" borderId="43" xfId="0" applyFont="1" applyBorder="1" applyAlignment="1">
      <alignment horizontal="center" vertical="center" wrapText="1"/>
    </xf>
    <xf numFmtId="165" fontId="0" fillId="0" borderId="44" xfId="0" applyNumberFormat="1" applyFont="1" applyBorder="1" applyAlignment="1">
      <alignment horizontal="center" vertical="center" wrapText="1"/>
    </xf>
    <xf numFmtId="165" fontId="0" fillId="0" borderId="44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45" xfId="0" applyNumberFormat="1" applyFont="1" applyBorder="1" applyAlignment="1">
      <alignment horizontal="center"/>
    </xf>
    <xf numFmtId="165" fontId="0" fillId="0" borderId="46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38" fillId="0" borderId="45" xfId="0" applyNumberFormat="1" applyFont="1" applyBorder="1" applyAlignment="1">
      <alignment horizontal="center" vertical="center"/>
    </xf>
    <xf numFmtId="165" fontId="38" fillId="0" borderId="8" xfId="0" applyNumberFormat="1" applyFont="1" applyBorder="1" applyAlignment="1">
      <alignment horizontal="center" vertical="center"/>
    </xf>
    <xf numFmtId="170" fontId="9" fillId="0" borderId="23" xfId="0" applyNumberFormat="1" applyFont="1" applyBorder="1" applyAlignment="1">
      <alignment horizontal="center"/>
    </xf>
    <xf numFmtId="165" fontId="0" fillId="0" borderId="47" xfId="0" applyNumberFormat="1" applyFont="1" applyBorder="1" applyAlignment="1">
      <alignment horizontal="center"/>
    </xf>
    <xf numFmtId="170" fontId="9" fillId="0" borderId="2" xfId="0" applyNumberFormat="1" applyFont="1" applyBorder="1" applyAlignment="1">
      <alignment horizontal="center"/>
    </xf>
    <xf numFmtId="170" fontId="9" fillId="0" borderId="2" xfId="0" applyNumberFormat="1" applyFont="1" applyBorder="1" applyAlignment="1">
      <alignment/>
    </xf>
    <xf numFmtId="171" fontId="9" fillId="0" borderId="2" xfId="0" applyNumberFormat="1" applyFont="1" applyBorder="1" applyAlignment="1">
      <alignment/>
    </xf>
    <xf numFmtId="170" fontId="10" fillId="0" borderId="2" xfId="0" applyNumberFormat="1" applyFont="1" applyBorder="1" applyAlignment="1">
      <alignment horizontal="center"/>
    </xf>
    <xf numFmtId="170" fontId="10" fillId="0" borderId="2" xfId="0" applyNumberFormat="1" applyFont="1" applyBorder="1" applyAlignment="1">
      <alignment/>
    </xf>
    <xf numFmtId="164" fontId="29" fillId="0" borderId="0" xfId="21" applyFont="1">
      <alignment/>
      <protection/>
    </xf>
    <xf numFmtId="164" fontId="29" fillId="0" borderId="0" xfId="21" applyFont="1" applyAlignment="1">
      <alignment shrinkToFit="1"/>
      <protection/>
    </xf>
    <xf numFmtId="170" fontId="29" fillId="0" borderId="0" xfId="21" applyNumberFormat="1" applyFont="1">
      <alignment/>
      <protection/>
    </xf>
    <xf numFmtId="164" fontId="39" fillId="0" borderId="0" xfId="21" applyFont="1">
      <alignment/>
      <protection/>
    </xf>
    <xf numFmtId="170" fontId="39" fillId="0" borderId="0" xfId="21" applyNumberFormat="1" applyFont="1" applyAlignment="1">
      <alignment horizontal="right"/>
      <protection/>
    </xf>
    <xf numFmtId="164" fontId="8" fillId="0" borderId="0" xfId="21" applyFont="1" applyBorder="1" applyAlignment="1">
      <alignment horizontal="center"/>
      <protection/>
    </xf>
    <xf numFmtId="164" fontId="39" fillId="0" borderId="0" xfId="21" applyFont="1" applyAlignment="1">
      <alignment horizontal="center"/>
      <protection/>
    </xf>
    <xf numFmtId="164" fontId="39" fillId="0" borderId="0" xfId="21" applyFont="1" applyAlignment="1">
      <alignment horizontal="right" shrinkToFit="1"/>
      <protection/>
    </xf>
    <xf numFmtId="170" fontId="39" fillId="0" borderId="0" xfId="21" applyNumberFormat="1" applyFont="1" applyAlignment="1">
      <alignment horizontal="center"/>
      <protection/>
    </xf>
    <xf numFmtId="170" fontId="40" fillId="0" borderId="0" xfId="21" applyNumberFormat="1" applyFont="1" applyAlignment="1">
      <alignment horizontal="center"/>
      <protection/>
    </xf>
    <xf numFmtId="164" fontId="10" fillId="4" borderId="25" xfId="21" applyFont="1" applyFill="1" applyBorder="1" applyAlignment="1">
      <alignment horizontal="center" shrinkToFit="1"/>
      <protection/>
    </xf>
    <xf numFmtId="164" fontId="10" fillId="4" borderId="11" xfId="21" applyFont="1" applyFill="1" applyBorder="1" applyAlignment="1">
      <alignment horizontal="center" shrinkToFit="1"/>
      <protection/>
    </xf>
    <xf numFmtId="164" fontId="10" fillId="4" borderId="10" xfId="21" applyFont="1" applyFill="1" applyBorder="1" applyAlignment="1">
      <alignment horizontal="center" shrinkToFit="1"/>
      <protection/>
    </xf>
    <xf numFmtId="164" fontId="2" fillId="4" borderId="12" xfId="21" applyFont="1" applyFill="1" applyBorder="1" applyAlignment="1">
      <alignment shrinkToFit="1"/>
      <protection/>
    </xf>
    <xf numFmtId="170" fontId="28" fillId="4" borderId="48" xfId="21" applyNumberFormat="1" applyFont="1" applyFill="1" applyBorder="1" applyAlignment="1">
      <alignment horizontal="center" shrinkToFit="1"/>
      <protection/>
    </xf>
    <xf numFmtId="164" fontId="2" fillId="0" borderId="0" xfId="21" applyFont="1" applyAlignment="1">
      <alignment shrinkToFit="1"/>
      <protection/>
    </xf>
    <xf numFmtId="164" fontId="10" fillId="4" borderId="15" xfId="21" applyFont="1" applyFill="1" applyBorder="1" applyAlignment="1">
      <alignment horizontal="center" shrinkToFit="1"/>
      <protection/>
    </xf>
    <xf numFmtId="164" fontId="10" fillId="4" borderId="3" xfId="21" applyFont="1" applyFill="1" applyBorder="1" applyAlignment="1">
      <alignment horizontal="center" shrinkToFit="1"/>
      <protection/>
    </xf>
    <xf numFmtId="172" fontId="8" fillId="4" borderId="3" xfId="21" applyNumberFormat="1" applyFont="1" applyFill="1" applyBorder="1" applyAlignment="1">
      <alignment horizontal="center" vertical="center" shrinkToFit="1"/>
      <protection/>
    </xf>
    <xf numFmtId="170" fontId="28" fillId="4" borderId="49" xfId="21" applyNumberFormat="1" applyFont="1" applyFill="1" applyBorder="1" applyAlignment="1">
      <alignment horizontal="center" shrinkToFit="1"/>
      <protection/>
    </xf>
    <xf numFmtId="172" fontId="10" fillId="4" borderId="3" xfId="21" applyNumberFormat="1" applyFont="1" applyFill="1" applyBorder="1" applyAlignment="1">
      <alignment horizontal="center" vertical="center" shrinkToFit="1"/>
      <protection/>
    </xf>
    <xf numFmtId="164" fontId="8" fillId="4" borderId="50" xfId="21" applyFont="1" applyFill="1" applyBorder="1" applyAlignment="1">
      <alignment horizontal="center" vertical="center"/>
      <protection/>
    </xf>
    <xf numFmtId="164" fontId="1" fillId="4" borderId="51" xfId="21" applyFont="1" applyFill="1" applyBorder="1" applyAlignment="1">
      <alignment horizontal="center" vertical="center"/>
      <protection/>
    </xf>
    <xf numFmtId="164" fontId="1" fillId="4" borderId="50" xfId="21" applyFont="1" applyFill="1" applyBorder="1" applyAlignment="1">
      <alignment horizontal="center" vertical="center"/>
      <protection/>
    </xf>
    <xf numFmtId="164" fontId="8" fillId="4" borderId="36" xfId="21" applyFont="1" applyFill="1" applyBorder="1" applyAlignment="1">
      <alignment vertical="center" shrinkToFit="1"/>
      <protection/>
    </xf>
    <xf numFmtId="170" fontId="22" fillId="4" borderId="52" xfId="21" applyNumberFormat="1" applyFont="1" applyFill="1" applyBorder="1" applyAlignment="1">
      <alignment vertical="center"/>
      <protection/>
    </xf>
    <xf numFmtId="164" fontId="1" fillId="0" borderId="0" xfId="21" applyFont="1" applyAlignment="1">
      <alignment vertical="center"/>
      <protection/>
    </xf>
    <xf numFmtId="164" fontId="8" fillId="4" borderId="53" xfId="21" applyFont="1" applyFill="1" applyBorder="1" applyAlignment="1">
      <alignment horizontal="center" vertical="center"/>
      <protection/>
    </xf>
    <xf numFmtId="164" fontId="22" fillId="4" borderId="3" xfId="21" applyFont="1" applyFill="1" applyBorder="1" applyAlignment="1">
      <alignment horizontal="center" vertical="center"/>
      <protection/>
    </xf>
    <xf numFmtId="164" fontId="1" fillId="4" borderId="53" xfId="21" applyFont="1" applyFill="1" applyBorder="1" applyAlignment="1">
      <alignment horizontal="center" vertical="center"/>
      <protection/>
    </xf>
    <xf numFmtId="164" fontId="8" fillId="0" borderId="5" xfId="21" applyFont="1" applyFill="1" applyBorder="1" applyAlignment="1">
      <alignment vertical="center" shrinkToFit="1"/>
      <protection/>
    </xf>
    <xf numFmtId="170" fontId="22" fillId="0" borderId="49" xfId="21" applyNumberFormat="1" applyFont="1" applyFill="1" applyBorder="1" applyAlignment="1">
      <alignment vertical="center"/>
      <protection/>
    </xf>
    <xf numFmtId="164" fontId="41" fillId="4" borderId="53" xfId="21" applyFont="1" applyFill="1" applyBorder="1" applyAlignment="1">
      <alignment horizontal="center"/>
      <protection/>
    </xf>
    <xf numFmtId="164" fontId="41" fillId="4" borderId="3" xfId="21" applyFont="1" applyFill="1" applyBorder="1" applyAlignment="1">
      <alignment horizontal="center"/>
      <protection/>
    </xf>
    <xf numFmtId="168" fontId="40" fillId="0" borderId="5" xfId="21" applyNumberFormat="1" applyFont="1" applyFill="1" applyBorder="1" applyAlignment="1">
      <alignment vertical="center" shrinkToFit="1"/>
      <protection/>
    </xf>
    <xf numFmtId="170" fontId="40" fillId="0" borderId="49" xfId="21" applyNumberFormat="1" applyFont="1" applyBorder="1">
      <alignment/>
      <protection/>
    </xf>
    <xf numFmtId="164" fontId="40" fillId="0" borderId="0" xfId="21" applyFont="1">
      <alignment/>
      <protection/>
    </xf>
    <xf numFmtId="164" fontId="42" fillId="4" borderId="53" xfId="21" applyFont="1" applyFill="1" applyBorder="1" applyAlignment="1">
      <alignment horizontal="center"/>
      <protection/>
    </xf>
    <xf numFmtId="164" fontId="42" fillId="4" borderId="3" xfId="21" applyFont="1" applyFill="1" applyBorder="1" applyAlignment="1">
      <alignment horizontal="center"/>
      <protection/>
    </xf>
    <xf numFmtId="168" fontId="43" fillId="0" borderId="5" xfId="21" applyNumberFormat="1" applyFont="1" applyFill="1" applyBorder="1" applyAlignment="1">
      <alignment vertical="center" shrinkToFit="1"/>
      <protection/>
    </xf>
    <xf numFmtId="170" fontId="43" fillId="0" borderId="49" xfId="21" applyNumberFormat="1" applyFont="1" applyBorder="1">
      <alignment/>
      <protection/>
    </xf>
    <xf numFmtId="164" fontId="43" fillId="0" borderId="0" xfId="21" applyFont="1">
      <alignment/>
      <protection/>
    </xf>
    <xf numFmtId="164" fontId="43" fillId="0" borderId="0" xfId="21" applyFont="1" applyBorder="1">
      <alignment/>
      <protection/>
    </xf>
    <xf numFmtId="164" fontId="44" fillId="4" borderId="24" xfId="21" applyFont="1" applyFill="1" applyBorder="1" applyAlignment="1">
      <alignment horizontal="center" vertical="center"/>
      <protection/>
    </xf>
    <xf numFmtId="172" fontId="44" fillId="4" borderId="39" xfId="21" applyNumberFormat="1" applyFont="1" applyFill="1" applyBorder="1" applyAlignment="1">
      <alignment horizontal="center" vertical="center"/>
      <protection/>
    </xf>
    <xf numFmtId="172" fontId="45" fillId="4" borderId="24" xfId="21" applyNumberFormat="1" applyFont="1" applyFill="1" applyBorder="1" applyAlignment="1">
      <alignment horizontal="center" vertical="center"/>
      <protection/>
    </xf>
    <xf numFmtId="172" fontId="45" fillId="0" borderId="4" xfId="21" applyNumberFormat="1" applyFont="1" applyBorder="1" applyAlignment="1">
      <alignment horizontal="left" vertical="center" wrapText="1" shrinkToFit="1"/>
      <protection/>
    </xf>
    <xf numFmtId="170" fontId="44" fillId="0" borderId="54" xfId="21" applyNumberFormat="1" applyFont="1" applyBorder="1" applyAlignment="1">
      <alignment vertical="center"/>
      <protection/>
    </xf>
    <xf numFmtId="164" fontId="29" fillId="0" borderId="0" xfId="21" applyFont="1" applyAlignment="1">
      <alignment vertical="center"/>
      <protection/>
    </xf>
    <xf numFmtId="172" fontId="41" fillId="4" borderId="3" xfId="21" applyNumberFormat="1" applyFont="1" applyFill="1" applyBorder="1" applyAlignment="1">
      <alignment horizontal="center"/>
      <protection/>
    </xf>
    <xf numFmtId="172" fontId="42" fillId="4" borderId="53" xfId="21" applyNumberFormat="1" applyFont="1" applyFill="1" applyBorder="1" applyAlignment="1">
      <alignment horizontal="center"/>
      <protection/>
    </xf>
    <xf numFmtId="170" fontId="41" fillId="0" borderId="49" xfId="21" applyNumberFormat="1" applyFont="1" applyBorder="1">
      <alignment/>
      <protection/>
    </xf>
    <xf numFmtId="172" fontId="42" fillId="4" borderId="3" xfId="21" applyNumberFormat="1" applyFont="1" applyFill="1" applyBorder="1" applyAlignment="1">
      <alignment horizontal="center"/>
      <protection/>
    </xf>
    <xf numFmtId="172" fontId="45" fillId="4" borderId="53" xfId="21" applyNumberFormat="1" applyFont="1" applyFill="1" applyBorder="1" applyAlignment="1">
      <alignment horizontal="center"/>
      <protection/>
    </xf>
    <xf numFmtId="172" fontId="45" fillId="0" borderId="5" xfId="21" applyNumberFormat="1" applyFont="1" applyBorder="1" applyAlignment="1">
      <alignment horizontal="left" vertical="center" wrapText="1" shrinkToFit="1"/>
      <protection/>
    </xf>
    <xf numFmtId="172" fontId="45" fillId="0" borderId="5" xfId="21" applyNumberFormat="1" applyFont="1" applyBorder="1" applyAlignment="1">
      <alignment horizontal="left" vertical="center" shrinkToFit="1"/>
      <protection/>
    </xf>
    <xf numFmtId="164" fontId="45" fillId="0" borderId="5" xfId="21" applyFont="1" applyFill="1" applyBorder="1" applyAlignment="1">
      <alignment vertical="center" shrinkToFit="1"/>
      <protection/>
    </xf>
    <xf numFmtId="170" fontId="40" fillId="0" borderId="0" xfId="21" applyNumberFormat="1" applyFont="1">
      <alignment/>
      <protection/>
    </xf>
    <xf numFmtId="164" fontId="44" fillId="4" borderId="50" xfId="21" applyFont="1" applyFill="1" applyBorder="1" applyAlignment="1">
      <alignment horizontal="center" vertical="center"/>
      <protection/>
    </xf>
    <xf numFmtId="164" fontId="45" fillId="4" borderId="51" xfId="21" applyFont="1" applyFill="1" applyBorder="1" applyAlignment="1">
      <alignment horizontal="center" vertical="center"/>
      <protection/>
    </xf>
    <xf numFmtId="164" fontId="45" fillId="4" borderId="50" xfId="21" applyFont="1" applyFill="1" applyBorder="1" applyAlignment="1">
      <alignment horizontal="center" vertical="center"/>
      <protection/>
    </xf>
    <xf numFmtId="168" fontId="1" fillId="4" borderId="36" xfId="21" applyNumberFormat="1" applyFont="1" applyFill="1" applyBorder="1" applyAlignment="1">
      <alignment horizontal="left" vertical="center" shrinkToFit="1"/>
      <protection/>
    </xf>
    <xf numFmtId="170" fontId="44" fillId="4" borderId="36" xfId="21" applyNumberFormat="1" applyFont="1" applyFill="1" applyBorder="1" applyAlignment="1">
      <alignment vertical="center"/>
      <protection/>
    </xf>
    <xf numFmtId="164" fontId="9" fillId="0" borderId="0" xfId="0" applyFont="1" applyFill="1" applyAlignment="1">
      <alignment horizontal="left" vertical="center" wrapText="1"/>
    </xf>
    <xf numFmtId="164" fontId="9" fillId="0" borderId="0" xfId="0" applyFont="1" applyFill="1" applyAlignment="1">
      <alignment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 vertical="center" wrapText="1"/>
    </xf>
    <xf numFmtId="164" fontId="13" fillId="0" borderId="0" xfId="0" applyFont="1" applyFill="1" applyAlignment="1">
      <alignment vertical="center" wrapText="1"/>
    </xf>
    <xf numFmtId="169" fontId="10" fillId="4" borderId="19" xfId="0" applyNumberFormat="1" applyFont="1" applyFill="1" applyBorder="1" applyAlignment="1">
      <alignment horizontal="center" vertical="center" wrapText="1"/>
    </xf>
    <xf numFmtId="164" fontId="10" fillId="4" borderId="36" xfId="0" applyFont="1" applyFill="1" applyBorder="1" applyAlignment="1">
      <alignment horizontal="center" vertical="center" wrapText="1"/>
    </xf>
    <xf numFmtId="169" fontId="10" fillId="4" borderId="52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 vertical="center" wrapText="1"/>
    </xf>
    <xf numFmtId="164" fontId="10" fillId="4" borderId="41" xfId="0" applyFont="1" applyFill="1" applyBorder="1" applyAlignment="1">
      <alignment horizontal="center" vertical="center" wrapText="1"/>
    </xf>
    <xf numFmtId="164" fontId="10" fillId="4" borderId="35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 vertical="center" wrapText="1"/>
    </xf>
    <xf numFmtId="164" fontId="9" fillId="0" borderId="34" xfId="0" applyFont="1" applyFill="1" applyBorder="1" applyAlignment="1" applyProtection="1">
      <alignment horizontal="left" vertical="center" wrapText="1" indent="1"/>
      <protection locked="0"/>
    </xf>
    <xf numFmtId="172" fontId="9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27" xfId="0" applyNumberFormat="1" applyFont="1" applyFill="1" applyBorder="1" applyAlignment="1" applyProtection="1">
      <alignment vertical="center" wrapText="1"/>
      <protection locked="0"/>
    </xf>
    <xf numFmtId="164" fontId="9" fillId="0" borderId="22" xfId="0" applyFont="1" applyFill="1" applyBorder="1" applyAlignment="1" applyProtection="1">
      <alignment horizontal="left" vertical="center" wrapText="1" indent="1"/>
      <protection locked="0"/>
    </xf>
    <xf numFmtId="164" fontId="9" fillId="0" borderId="2" xfId="0" applyFont="1" applyFill="1" applyBorder="1" applyAlignment="1" applyProtection="1">
      <alignment horizontal="left" vertical="center" wrapText="1" indent="1"/>
      <protection locked="0"/>
    </xf>
    <xf numFmtId="165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23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0" xfId="0" applyNumberFormat="1" applyFont="1" applyFill="1" applyAlignment="1">
      <alignment vertical="center" wrapText="1"/>
    </xf>
    <xf numFmtId="165" fontId="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4" borderId="41" xfId="0" applyFont="1" applyFill="1" applyBorder="1" applyAlignment="1">
      <alignment horizontal="left" vertical="center" wrapText="1" indent="1"/>
    </xf>
    <xf numFmtId="164" fontId="10" fillId="4" borderId="35" xfId="0" applyFont="1" applyFill="1" applyBorder="1" applyAlignment="1">
      <alignment horizontal="left" vertical="center" wrapText="1" indent="1"/>
    </xf>
    <xf numFmtId="165" fontId="10" fillId="4" borderId="35" xfId="0" applyNumberFormat="1" applyFont="1" applyFill="1" applyBorder="1" applyAlignment="1">
      <alignment horizontal="right" vertical="center" wrapText="1"/>
    </xf>
    <xf numFmtId="164" fontId="46" fillId="0" borderId="0" xfId="0" applyFont="1" applyFill="1" applyBorder="1" applyAlignment="1">
      <alignment horizontal="center" vertical="center" wrapText="1"/>
    </xf>
    <xf numFmtId="164" fontId="8" fillId="0" borderId="0" xfId="0" applyFont="1" applyFill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11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/>
    </xf>
    <xf numFmtId="173" fontId="9" fillId="0" borderId="2" xfId="0" applyNumberFormat="1" applyFont="1" applyBorder="1" applyAlignment="1">
      <alignment horizontal="center"/>
    </xf>
    <xf numFmtId="165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0" borderId="2" xfId="0" applyFont="1" applyFill="1" applyBorder="1" applyAlignment="1">
      <alignment/>
    </xf>
    <xf numFmtId="173" fontId="10" fillId="0" borderId="2" xfId="0" applyNumberFormat="1" applyFont="1" applyBorder="1" applyAlignment="1">
      <alignment horizontal="center"/>
    </xf>
    <xf numFmtId="164" fontId="10" fillId="0" borderId="55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/>
    </xf>
    <xf numFmtId="164" fontId="9" fillId="0" borderId="2" xfId="0" applyFont="1" applyBorder="1" applyAlignment="1">
      <alignment wrapText="1"/>
    </xf>
    <xf numFmtId="164" fontId="47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0" fillId="0" borderId="0" xfId="0" applyAlignment="1">
      <alignment/>
    </xf>
    <xf numFmtId="165" fontId="9" fillId="0" borderId="0" xfId="0" applyNumberFormat="1" applyFont="1" applyAlignment="1">
      <alignment horizontal="center"/>
    </xf>
    <xf numFmtId="174" fontId="9" fillId="0" borderId="0" xfId="0" applyNumberFormat="1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48" fillId="0" borderId="0" xfId="0" applyFont="1" applyAlignment="1">
      <alignment horizontal="center"/>
    </xf>
    <xf numFmtId="164" fontId="48" fillId="0" borderId="0" xfId="0" applyFont="1" applyAlignment="1">
      <alignment/>
    </xf>
    <xf numFmtId="164" fontId="8" fillId="4" borderId="56" xfId="0" applyFont="1" applyFill="1" applyBorder="1" applyAlignment="1">
      <alignment horizontal="center" vertical="center" wrapText="1"/>
    </xf>
    <xf numFmtId="164" fontId="8" fillId="4" borderId="57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8" fillId="4" borderId="48" xfId="0" applyFont="1" applyFill="1" applyBorder="1" applyAlignment="1">
      <alignment horizontal="center" vertical="center" wrapText="1"/>
    </xf>
    <xf numFmtId="164" fontId="8" fillId="4" borderId="58" xfId="0" applyFont="1" applyFill="1" applyBorder="1" applyAlignment="1">
      <alignment horizontal="center" vertical="center" wrapText="1"/>
    </xf>
    <xf numFmtId="164" fontId="48" fillId="0" borderId="59" xfId="0" applyFont="1" applyBorder="1" applyAlignment="1">
      <alignment horizontal="left" vertical="center" wrapText="1"/>
    </xf>
    <xf numFmtId="164" fontId="48" fillId="0" borderId="60" xfId="0" applyFont="1" applyBorder="1" applyAlignment="1">
      <alignment horizontal="center" vertical="center"/>
    </xf>
    <xf numFmtId="164" fontId="48" fillId="0" borderId="7" xfId="0" applyFont="1" applyBorder="1" applyAlignment="1">
      <alignment horizontal="center" vertical="center" wrapText="1"/>
    </xf>
    <xf numFmtId="164" fontId="48" fillId="0" borderId="61" xfId="0" applyFont="1" applyBorder="1" applyAlignment="1">
      <alignment horizontal="center" vertical="center" wrapText="1"/>
    </xf>
    <xf numFmtId="176" fontId="48" fillId="0" borderId="61" xfId="15" applyNumberFormat="1" applyFont="1" applyFill="1" applyBorder="1" applyAlignment="1" applyProtection="1">
      <alignment vertical="center" wrapText="1"/>
      <protection/>
    </xf>
    <xf numFmtId="164" fontId="48" fillId="0" borderId="61" xfId="0" applyFont="1" applyBorder="1" applyAlignment="1">
      <alignment vertical="center" wrapText="1"/>
    </xf>
    <xf numFmtId="176" fontId="48" fillId="0" borderId="62" xfId="15" applyNumberFormat="1" applyFont="1" applyFill="1" applyBorder="1" applyAlignment="1" applyProtection="1">
      <alignment vertical="center" wrapText="1"/>
      <protection/>
    </xf>
    <xf numFmtId="176" fontId="8" fillId="0" borderId="43" xfId="15" applyNumberFormat="1" applyFont="1" applyFill="1" applyBorder="1" applyAlignment="1" applyProtection="1">
      <alignment vertical="center" wrapText="1"/>
      <protection/>
    </xf>
    <xf numFmtId="164" fontId="48" fillId="0" borderId="24" xfId="0" applyFont="1" applyBorder="1" applyAlignment="1">
      <alignment horizontal="left" vertical="center" wrapText="1"/>
    </xf>
    <xf numFmtId="164" fontId="48" fillId="0" borderId="40" xfId="0" applyFont="1" applyBorder="1" applyAlignment="1">
      <alignment horizontal="center" vertical="center"/>
    </xf>
    <xf numFmtId="164" fontId="48" fillId="0" borderId="4" xfId="0" applyFont="1" applyBorder="1" applyAlignment="1">
      <alignment horizontal="center" vertical="center" wrapText="1"/>
    </xf>
    <xf numFmtId="176" fontId="48" fillId="0" borderId="4" xfId="15" applyNumberFormat="1" applyFont="1" applyFill="1" applyBorder="1" applyAlignment="1" applyProtection="1">
      <alignment vertical="center" wrapText="1"/>
      <protection/>
    </xf>
    <xf numFmtId="176" fontId="48" fillId="0" borderId="39" xfId="15" applyNumberFormat="1" applyFont="1" applyFill="1" applyBorder="1" applyAlignment="1" applyProtection="1">
      <alignment vertical="center" wrapText="1"/>
      <protection/>
    </xf>
    <xf numFmtId="164" fontId="48" fillId="0" borderId="4" xfId="0" applyFont="1" applyBorder="1" applyAlignment="1">
      <alignment horizontal="center" vertical="center"/>
    </xf>
    <xf numFmtId="176" fontId="8" fillId="0" borderId="63" xfId="15" applyNumberFormat="1" applyFont="1" applyFill="1" applyBorder="1" applyAlignment="1" applyProtection="1">
      <alignment vertical="center" wrapText="1"/>
      <protection/>
    </xf>
    <xf numFmtId="164" fontId="8" fillId="4" borderId="50" xfId="0" applyFont="1" applyFill="1" applyBorder="1" applyAlignment="1">
      <alignment horizontal="left" vertical="center"/>
    </xf>
    <xf numFmtId="164" fontId="8" fillId="4" borderId="64" xfId="0" applyFont="1" applyFill="1" applyBorder="1" applyAlignment="1">
      <alignment horizontal="center" vertical="center"/>
    </xf>
    <xf numFmtId="164" fontId="8" fillId="4" borderId="36" xfId="0" applyFont="1" applyFill="1" applyBorder="1" applyAlignment="1">
      <alignment horizontal="center" vertical="center" wrapText="1"/>
    </xf>
    <xf numFmtId="176" fontId="8" fillId="4" borderId="36" xfId="15" applyNumberFormat="1" applyFont="1" applyFill="1" applyBorder="1" applyAlignment="1" applyProtection="1">
      <alignment vertical="center" wrapText="1"/>
      <protection/>
    </xf>
    <xf numFmtId="164" fontId="8" fillId="4" borderId="36" xfId="0" applyFont="1" applyFill="1" applyBorder="1" applyAlignment="1">
      <alignment vertical="center" wrapText="1"/>
    </xf>
    <xf numFmtId="176" fontId="8" fillId="4" borderId="31" xfId="15" applyNumberFormat="1" applyFont="1" applyFill="1" applyBorder="1" applyAlignment="1" applyProtection="1">
      <alignment vertical="center" wrapText="1"/>
      <protection/>
    </xf>
    <xf numFmtId="164" fontId="22" fillId="0" borderId="0" xfId="21" applyFont="1" applyBorder="1" applyAlignment="1">
      <alignment horizontal="center"/>
      <protection/>
    </xf>
    <xf numFmtId="164" fontId="22" fillId="0" borderId="0" xfId="21" applyFont="1">
      <alignment/>
      <protection/>
    </xf>
    <xf numFmtId="164" fontId="22" fillId="0" borderId="9" xfId="21" applyFont="1" applyBorder="1" applyAlignment="1">
      <alignment horizontal="center"/>
      <protection/>
    </xf>
    <xf numFmtId="164" fontId="39" fillId="4" borderId="50" xfId="21" applyFont="1" applyFill="1" applyBorder="1">
      <alignment/>
      <protection/>
    </xf>
    <xf numFmtId="164" fontId="8" fillId="4" borderId="36" xfId="21" applyFont="1" applyFill="1" applyBorder="1" applyAlignment="1">
      <alignment horizontal="center"/>
      <protection/>
    </xf>
    <xf numFmtId="164" fontId="8" fillId="4" borderId="52" xfId="21" applyFont="1" applyFill="1" applyBorder="1" applyAlignment="1">
      <alignment horizontal="right"/>
      <protection/>
    </xf>
    <xf numFmtId="168" fontId="22" fillId="0" borderId="36" xfId="21" applyNumberFormat="1" applyFont="1" applyFill="1" applyBorder="1" applyAlignment="1">
      <alignment horizontal="left" vertical="center" shrinkToFit="1"/>
      <protection/>
    </xf>
    <xf numFmtId="165" fontId="8" fillId="0" borderId="36" xfId="21" applyNumberFormat="1" applyFont="1" applyFill="1" applyBorder="1" applyAlignment="1">
      <alignment vertical="center"/>
      <protection/>
    </xf>
    <xf numFmtId="164" fontId="1" fillId="0" borderId="0" xfId="21" applyFont="1" applyFill="1" applyAlignment="1">
      <alignment vertical="center"/>
      <protection/>
    </xf>
    <xf numFmtId="168" fontId="22" fillId="0" borderId="12" xfId="21" applyNumberFormat="1" applyFont="1" applyFill="1" applyBorder="1" applyAlignment="1">
      <alignment horizontal="left" vertical="center" shrinkToFit="1"/>
      <protection/>
    </xf>
    <xf numFmtId="165" fontId="8" fillId="0" borderId="12" xfId="21" applyNumberFormat="1" applyFont="1" applyFill="1" applyBorder="1" applyAlignment="1">
      <alignment vertical="center"/>
      <protection/>
    </xf>
    <xf numFmtId="164" fontId="22" fillId="4" borderId="50" xfId="21" applyFont="1" applyFill="1" applyBorder="1">
      <alignment/>
      <protection/>
    </xf>
    <xf numFmtId="164" fontId="22" fillId="4" borderId="36" xfId="21" applyFont="1" applyFill="1" applyBorder="1" applyAlignment="1">
      <alignment shrinkToFit="1"/>
      <protection/>
    </xf>
    <xf numFmtId="170" fontId="22" fillId="4" borderId="52" xfId="21" applyNumberFormat="1" applyFont="1" applyFill="1" applyBorder="1">
      <alignment/>
      <protection/>
    </xf>
    <xf numFmtId="164" fontId="49" fillId="0" borderId="0" xfId="21" applyFont="1" applyFill="1">
      <alignment/>
      <protection/>
    </xf>
    <xf numFmtId="164" fontId="39" fillId="0" borderId="0" xfId="21" applyFont="1" applyFill="1">
      <alignment/>
      <protection/>
    </xf>
    <xf numFmtId="164" fontId="29" fillId="0" borderId="0" xfId="21" applyFont="1" applyFill="1" applyAlignment="1">
      <alignment shrinkToFit="1"/>
      <protection/>
    </xf>
    <xf numFmtId="170" fontId="29" fillId="0" borderId="0" xfId="21" applyNumberFormat="1" applyFont="1" applyFill="1">
      <alignment/>
      <protection/>
    </xf>
    <xf numFmtId="164" fontId="43" fillId="0" borderId="0" xfId="21" applyFont="1" applyFill="1" applyBorder="1">
      <alignment/>
      <protection/>
    </xf>
    <xf numFmtId="164" fontId="40" fillId="0" borderId="0" xfId="21" applyFont="1" applyFill="1" applyBorder="1">
      <alignment/>
      <protection/>
    </xf>
    <xf numFmtId="165" fontId="48" fillId="0" borderId="0" xfId="0" applyNumberFormat="1" applyFont="1" applyAlignment="1">
      <alignment/>
    </xf>
    <xf numFmtId="164" fontId="46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right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164" fontId="48" fillId="0" borderId="2" xfId="0" applyFont="1" applyBorder="1" applyAlignment="1">
      <alignment/>
    </xf>
    <xf numFmtId="165" fontId="48" fillId="0" borderId="2" xfId="0" applyNumberFormat="1" applyFont="1" applyBorder="1" applyAlignment="1">
      <alignment/>
    </xf>
    <xf numFmtId="165" fontId="9" fillId="0" borderId="0" xfId="0" applyNumberFormat="1" applyFont="1" applyAlignment="1">
      <alignment horizontal="right"/>
    </xf>
    <xf numFmtId="164" fontId="46" fillId="0" borderId="0" xfId="0" applyFont="1" applyAlignment="1">
      <alignment/>
    </xf>
    <xf numFmtId="164" fontId="10" fillId="0" borderId="0" xfId="0" applyFont="1" applyAlignment="1">
      <alignment/>
    </xf>
    <xf numFmtId="164" fontId="46" fillId="0" borderId="0" xfId="0" applyFont="1" applyBorder="1" applyAlignment="1">
      <alignment horizontal="center" vertical="center"/>
    </xf>
    <xf numFmtId="164" fontId="48" fillId="0" borderId="0" xfId="0" applyFont="1" applyBorder="1" applyAlignment="1">
      <alignment/>
    </xf>
    <xf numFmtId="165" fontId="48" fillId="0" borderId="0" xfId="0" applyNumberFormat="1" applyFont="1" applyBorder="1" applyAlignment="1">
      <alignment horizontal="right"/>
    </xf>
    <xf numFmtId="164" fontId="45" fillId="0" borderId="2" xfId="0" applyFont="1" applyBorder="1" applyAlignment="1">
      <alignment horizontal="center" vertical="center" wrapText="1"/>
    </xf>
    <xf numFmtId="164" fontId="45" fillId="0" borderId="2" xfId="0" applyFont="1" applyBorder="1" applyAlignment="1">
      <alignment horizontal="center" wrapText="1"/>
    </xf>
    <xf numFmtId="165" fontId="45" fillId="0" borderId="2" xfId="0" applyNumberFormat="1" applyFont="1" applyBorder="1" applyAlignment="1">
      <alignment horizontal="center" vertical="center"/>
    </xf>
    <xf numFmtId="164" fontId="45" fillId="0" borderId="2" xfId="0" applyFont="1" applyBorder="1" applyAlignment="1">
      <alignment horizontal="center" vertical="top" wrapText="1"/>
    </xf>
    <xf numFmtId="164" fontId="45" fillId="0" borderId="2" xfId="0" applyFont="1" applyBorder="1" applyAlignment="1">
      <alignment horizontal="center"/>
    </xf>
    <xf numFmtId="165" fontId="45" fillId="0" borderId="2" xfId="0" applyNumberFormat="1" applyFont="1" applyBorder="1" applyAlignment="1">
      <alignment horizontal="right"/>
    </xf>
    <xf numFmtId="164" fontId="48" fillId="0" borderId="2" xfId="0" applyFont="1" applyBorder="1" applyAlignment="1">
      <alignment horizontal="left" vertical="top" wrapText="1"/>
    </xf>
    <xf numFmtId="164" fontId="48" fillId="2" borderId="2" xfId="0" applyFont="1" applyFill="1" applyBorder="1" applyAlignment="1">
      <alignment horizontal="left" vertical="top" wrapText="1"/>
    </xf>
    <xf numFmtId="164" fontId="45" fillId="2" borderId="2" xfId="0" applyFont="1" applyFill="1" applyBorder="1" applyAlignment="1">
      <alignment horizontal="center"/>
    </xf>
    <xf numFmtId="165" fontId="45" fillId="2" borderId="2" xfId="0" applyNumberFormat="1" applyFont="1" applyFill="1" applyBorder="1" applyAlignment="1">
      <alignment horizontal="right"/>
    </xf>
    <xf numFmtId="165" fontId="45" fillId="0" borderId="2" xfId="0" applyNumberFormat="1" applyFont="1" applyBorder="1" applyAlignment="1">
      <alignment horizontal="left"/>
    </xf>
    <xf numFmtId="172" fontId="48" fillId="0" borderId="2" xfId="0" applyNumberFormat="1" applyFont="1" applyBorder="1" applyAlignment="1">
      <alignment horizontal="left" vertical="top" wrapText="1"/>
    </xf>
    <xf numFmtId="164" fontId="7" fillId="0" borderId="0" xfId="0" applyFont="1" applyAlignment="1">
      <alignment horizontal="center" vertical="center" wrapText="1"/>
    </xf>
    <xf numFmtId="164" fontId="10" fillId="0" borderId="0" xfId="0" applyFont="1" applyAlignment="1">
      <alignment horizontal="center"/>
    </xf>
    <xf numFmtId="164" fontId="8" fillId="2" borderId="2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 wrapText="1" shrinkToFit="1"/>
    </xf>
    <xf numFmtId="164" fontId="10" fillId="0" borderId="2" xfId="0" applyFont="1" applyBorder="1" applyAlignment="1">
      <alignment horizontal="center" wrapText="1"/>
    </xf>
    <xf numFmtId="164" fontId="50" fillId="0" borderId="2" xfId="0" applyFont="1" applyBorder="1" applyAlignment="1">
      <alignment horizontal="center"/>
    </xf>
    <xf numFmtId="164" fontId="11" fillId="2" borderId="2" xfId="0" applyFont="1" applyFill="1" applyBorder="1" applyAlignment="1">
      <alignment/>
    </xf>
    <xf numFmtId="164" fontId="9" fillId="2" borderId="2" xfId="0" applyFont="1" applyFill="1" applyBorder="1" applyAlignment="1">
      <alignment/>
    </xf>
    <xf numFmtId="166" fontId="9" fillId="2" borderId="2" xfId="0" applyNumberFormat="1" applyFont="1" applyFill="1" applyBorder="1" applyAlignment="1">
      <alignment/>
    </xf>
    <xf numFmtId="165" fontId="7" fillId="2" borderId="2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51" fillId="0" borderId="2" xfId="0" applyNumberFormat="1" applyFont="1" applyBorder="1" applyAlignment="1">
      <alignment/>
    </xf>
    <xf numFmtId="164" fontId="7" fillId="0" borderId="0" xfId="0" applyFont="1" applyBorder="1" applyAlignment="1">
      <alignment horizontal="center" wrapText="1"/>
    </xf>
    <xf numFmtId="164" fontId="9" fillId="0" borderId="0" xfId="0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164" fontId="9" fillId="0" borderId="65" xfId="0" applyFont="1" applyBorder="1" applyAlignment="1">
      <alignment horizontal="center" vertical="center" wrapText="1"/>
    </xf>
    <xf numFmtId="165" fontId="9" fillId="0" borderId="61" xfId="0" applyNumberFormat="1" applyFont="1" applyBorder="1" applyAlignment="1">
      <alignment horizontal="center" vertical="center" wrapText="1"/>
    </xf>
    <xf numFmtId="166" fontId="9" fillId="0" borderId="61" xfId="0" applyNumberFormat="1" applyFont="1" applyBorder="1" applyAlignment="1">
      <alignment horizontal="center" vertical="center" wrapText="1"/>
    </xf>
    <xf numFmtId="164" fontId="10" fillId="0" borderId="66" xfId="0" applyFont="1" applyBorder="1" applyAlignment="1">
      <alignment/>
    </xf>
    <xf numFmtId="164" fontId="9" fillId="0" borderId="66" xfId="0" applyFont="1" applyBorder="1" applyAlignment="1">
      <alignment/>
    </xf>
    <xf numFmtId="165" fontId="9" fillId="0" borderId="67" xfId="0" applyNumberFormat="1" applyFont="1" applyBorder="1" applyAlignment="1">
      <alignment/>
    </xf>
    <xf numFmtId="164" fontId="13" fillId="0" borderId="66" xfId="0" applyFont="1" applyBorder="1" applyAlignment="1">
      <alignment/>
    </xf>
    <xf numFmtId="165" fontId="13" fillId="0" borderId="8" xfId="0" applyNumberFormat="1" applyFont="1" applyBorder="1" applyAlignment="1">
      <alignment/>
    </xf>
    <xf numFmtId="165" fontId="9" fillId="0" borderId="8" xfId="0" applyNumberFormat="1" applyFont="1" applyBorder="1" applyAlignment="1">
      <alignment/>
    </xf>
    <xf numFmtId="165" fontId="10" fillId="0" borderId="67" xfId="0" applyNumberFormat="1" applyFont="1" applyBorder="1" applyAlignment="1">
      <alignment/>
    </xf>
    <xf numFmtId="165" fontId="10" fillId="0" borderId="66" xfId="0" applyNumberFormat="1" applyFont="1" applyBorder="1" applyAlignment="1">
      <alignment/>
    </xf>
    <xf numFmtId="164" fontId="7" fillId="0" borderId="2" xfId="0" applyFont="1" applyBorder="1" applyAlignment="1">
      <alignment horizontal="center" wrapText="1"/>
    </xf>
    <xf numFmtId="164" fontId="25" fillId="0" borderId="2" xfId="0" applyFont="1" applyBorder="1" applyAlignment="1">
      <alignment horizontal="right"/>
    </xf>
    <xf numFmtId="164" fontId="9" fillId="0" borderId="2" xfId="0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44" fillId="0" borderId="2" xfId="0" applyFont="1" applyBorder="1" applyAlignment="1">
      <alignment/>
    </xf>
    <xf numFmtId="165" fontId="44" fillId="0" borderId="2" xfId="0" applyNumberFormat="1" applyFont="1" applyBorder="1" applyAlignment="1">
      <alignment/>
    </xf>
    <xf numFmtId="164" fontId="47" fillId="0" borderId="2" xfId="0" applyFont="1" applyBorder="1" applyAlignment="1">
      <alignment/>
    </xf>
    <xf numFmtId="165" fontId="45" fillId="0" borderId="2" xfId="0" applyNumberFormat="1" applyFont="1" applyBorder="1" applyAlignment="1">
      <alignment/>
    </xf>
    <xf numFmtId="164" fontId="8" fillId="0" borderId="2" xfId="0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42" fillId="0" borderId="2" xfId="0" applyNumberFormat="1" applyFont="1" applyBorder="1" applyAlignment="1">
      <alignment/>
    </xf>
    <xf numFmtId="164" fontId="9" fillId="0" borderId="2" xfId="0" applyFont="1" applyBorder="1" applyAlignment="1">
      <alignment shrinkToFit="1"/>
    </xf>
    <xf numFmtId="164" fontId="8" fillId="0" borderId="2" xfId="0" applyFont="1" applyBorder="1" applyAlignment="1">
      <alignment shrinkToFit="1"/>
    </xf>
    <xf numFmtId="164" fontId="52" fillId="0" borderId="0" xfId="0" applyFont="1" applyAlignment="1">
      <alignment/>
    </xf>
    <xf numFmtId="164" fontId="0" fillId="0" borderId="0" xfId="0" applyBorder="1" applyAlignment="1">
      <alignment/>
    </xf>
    <xf numFmtId="164" fontId="53" fillId="0" borderId="0" xfId="0" applyFont="1" applyAlignment="1">
      <alignment/>
    </xf>
    <xf numFmtId="164" fontId="54" fillId="0" borderId="0" xfId="0" applyFont="1" applyAlignment="1">
      <alignment/>
    </xf>
    <xf numFmtId="164" fontId="5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top"/>
    </xf>
    <xf numFmtId="164" fontId="53" fillId="0" borderId="0" xfId="0" applyFont="1" applyBorder="1" applyAlignment="1">
      <alignment/>
    </xf>
    <xf numFmtId="164" fontId="53" fillId="0" borderId="0" xfId="0" applyFont="1" applyAlignment="1">
      <alignment horizontal="center" vertical="top"/>
    </xf>
    <xf numFmtId="164" fontId="53" fillId="0" borderId="0" xfId="0" applyFont="1" applyAlignment="1">
      <alignment vertical="top"/>
    </xf>
    <xf numFmtId="164" fontId="52" fillId="0" borderId="0" xfId="0" applyFont="1" applyAlignment="1">
      <alignment horizontal="center" vertical="top" shrinkToFit="1"/>
    </xf>
    <xf numFmtId="164" fontId="52" fillId="0" borderId="0" xfId="0" applyFont="1" applyAlignment="1">
      <alignment horizontal="center" vertical="top" wrapText="1"/>
    </xf>
    <xf numFmtId="164" fontId="54" fillId="0" borderId="0" xfId="0" applyFont="1" applyAlignment="1">
      <alignment vertical="top"/>
    </xf>
    <xf numFmtId="164" fontId="54" fillId="0" borderId="0" xfId="0" applyFont="1" applyAlignment="1">
      <alignment horizontal="center" vertical="top" wrapText="1"/>
    </xf>
    <xf numFmtId="164" fontId="52" fillId="0" borderId="0" xfId="0" applyFont="1" applyAlignment="1">
      <alignment vertical="top"/>
    </xf>
    <xf numFmtId="164" fontId="53" fillId="0" borderId="0" xfId="0" applyFont="1" applyBorder="1" applyAlignment="1">
      <alignment horizontal="center" vertical="top"/>
    </xf>
    <xf numFmtId="164" fontId="53" fillId="0" borderId="0" xfId="0" applyFont="1" applyBorder="1" applyAlignment="1">
      <alignment horizontal="right"/>
    </xf>
    <xf numFmtId="164" fontId="55" fillId="0" borderId="0" xfId="0" applyFont="1" applyBorder="1" applyAlignment="1">
      <alignment/>
    </xf>
    <xf numFmtId="164" fontId="55" fillId="0" borderId="0" xfId="0" applyFont="1" applyBorder="1" applyAlignment="1">
      <alignment horizontal="center"/>
    </xf>
    <xf numFmtId="164" fontId="53" fillId="0" borderId="2" xfId="0" applyFont="1" applyBorder="1" applyAlignment="1">
      <alignment horizontal="center" vertical="center" wrapText="1"/>
    </xf>
    <xf numFmtId="164" fontId="53" fillId="0" borderId="2" xfId="0" applyFont="1" applyBorder="1" applyAlignment="1">
      <alignment horizontal="center" wrapText="1"/>
    </xf>
    <xf numFmtId="164" fontId="53" fillId="0" borderId="2" xfId="0" applyFont="1" applyBorder="1" applyAlignment="1">
      <alignment horizontal="center" vertical="center"/>
    </xf>
    <xf numFmtId="164" fontId="56" fillId="0" borderId="2" xfId="0" applyFont="1" applyBorder="1" applyAlignment="1">
      <alignment horizontal="center" vertical="top" wrapText="1"/>
    </xf>
    <xf numFmtId="164" fontId="56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left" vertical="top" wrapText="1"/>
    </xf>
    <xf numFmtId="164" fontId="53" fillId="0" borderId="2" xfId="0" applyFont="1" applyBorder="1" applyAlignment="1">
      <alignment horizontal="center"/>
    </xf>
    <xf numFmtId="164" fontId="4" fillId="2" borderId="2" xfId="0" applyFont="1" applyFill="1" applyBorder="1" applyAlignment="1">
      <alignment horizontal="left" vertical="top" wrapText="1"/>
    </xf>
    <xf numFmtId="164" fontId="53" fillId="2" borderId="2" xfId="0" applyFont="1" applyFill="1" applyBorder="1" applyAlignment="1">
      <alignment horizontal="center"/>
    </xf>
    <xf numFmtId="164" fontId="53" fillId="0" borderId="2" xfId="0" applyFont="1" applyBorder="1" applyAlignment="1">
      <alignment horizontal="center" vertical="top" wrapText="1"/>
    </xf>
    <xf numFmtId="172" fontId="4" fillId="0" borderId="2" xfId="0" applyNumberFormat="1" applyFont="1" applyBorder="1" applyAlignment="1">
      <alignment horizontal="left" vertical="top" wrapText="1"/>
    </xf>
    <xf numFmtId="164" fontId="57" fillId="0" borderId="68" xfId="0" applyFont="1" applyBorder="1" applyAlignment="1">
      <alignment vertical="top" wrapText="1"/>
    </xf>
    <xf numFmtId="164" fontId="57" fillId="0" borderId="0" xfId="0" applyFont="1" applyBorder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ktsgv" xfId="20"/>
    <cellStyle name="Normál_02B_2008_evi_kltsgv_rendelet" xfId="21"/>
    <cellStyle name="Normál_BEKI991" xfId="22"/>
    <cellStyle name="Normál_táblá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57150</xdr:rowOff>
    </xdr:from>
    <xdr:to>
      <xdr:col>6</xdr:col>
      <xdr:colOff>9525</xdr:colOff>
      <xdr:row>34</xdr:row>
      <xdr:rowOff>76200</xdr:rowOff>
    </xdr:to>
    <xdr:sp>
      <xdr:nvSpPr>
        <xdr:cNvPr id="1" name="Alakzat 2"/>
        <xdr:cNvSpPr>
          <a:spLocks/>
        </xdr:cNvSpPr>
      </xdr:nvSpPr>
      <xdr:spPr>
        <a:xfrm>
          <a:off x="5600700" y="5391150"/>
          <a:ext cx="142875" cy="342900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1257300</xdr:colOff>
      <xdr:row>11</xdr:row>
      <xdr:rowOff>19050</xdr:rowOff>
    </xdr:from>
    <xdr:to>
      <xdr:col>1</xdr:col>
      <xdr:colOff>1419225</xdr:colOff>
      <xdr:row>12</xdr:row>
      <xdr:rowOff>133350</xdr:rowOff>
    </xdr:to>
    <xdr:sp>
      <xdr:nvSpPr>
        <xdr:cNvPr id="2" name="Alakzat 3"/>
        <xdr:cNvSpPr>
          <a:spLocks/>
        </xdr:cNvSpPr>
      </xdr:nvSpPr>
      <xdr:spPr>
        <a:xfrm>
          <a:off x="2562225" y="1876425"/>
          <a:ext cx="161925" cy="2762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11</xdr:col>
      <xdr:colOff>0</xdr:colOff>
      <xdr:row>25</xdr:row>
      <xdr:rowOff>161925</xdr:rowOff>
    </xdr:to>
    <xdr:sp>
      <xdr:nvSpPr>
        <xdr:cNvPr id="1" name="Téglalap 1"/>
        <xdr:cNvSpPr>
          <a:spLocks/>
        </xdr:cNvSpPr>
      </xdr:nvSpPr>
      <xdr:spPr>
        <a:xfrm>
          <a:off x="0" y="1133475"/>
          <a:ext cx="8553450" cy="30765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11</xdr:col>
      <xdr:colOff>0</xdr:colOff>
      <xdr:row>27</xdr:row>
      <xdr:rowOff>161925</xdr:rowOff>
    </xdr:to>
    <xdr:sp>
      <xdr:nvSpPr>
        <xdr:cNvPr id="2" name="Téglalap 2"/>
        <xdr:cNvSpPr>
          <a:spLocks/>
        </xdr:cNvSpPr>
      </xdr:nvSpPr>
      <xdr:spPr>
        <a:xfrm>
          <a:off x="0" y="1143000"/>
          <a:ext cx="8553450" cy="33909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11</xdr:col>
      <xdr:colOff>0</xdr:colOff>
      <xdr:row>25</xdr:row>
      <xdr:rowOff>161925</xdr:rowOff>
    </xdr:to>
    <xdr:sp>
      <xdr:nvSpPr>
        <xdr:cNvPr id="3" name="Téglalap 3"/>
        <xdr:cNvSpPr>
          <a:spLocks/>
        </xdr:cNvSpPr>
      </xdr:nvSpPr>
      <xdr:spPr>
        <a:xfrm>
          <a:off x="0" y="1133475"/>
          <a:ext cx="8553450" cy="30765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11</xdr:col>
      <xdr:colOff>0</xdr:colOff>
      <xdr:row>27</xdr:row>
      <xdr:rowOff>161925</xdr:rowOff>
    </xdr:to>
    <xdr:sp>
      <xdr:nvSpPr>
        <xdr:cNvPr id="4" name="Téglalap 4"/>
        <xdr:cNvSpPr>
          <a:spLocks/>
        </xdr:cNvSpPr>
      </xdr:nvSpPr>
      <xdr:spPr>
        <a:xfrm>
          <a:off x="0" y="1143000"/>
          <a:ext cx="8553450" cy="33909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11</xdr:col>
      <xdr:colOff>0</xdr:colOff>
      <xdr:row>26</xdr:row>
      <xdr:rowOff>161925</xdr:rowOff>
    </xdr:to>
    <xdr:sp>
      <xdr:nvSpPr>
        <xdr:cNvPr id="5" name="Téglalap 5"/>
        <xdr:cNvSpPr>
          <a:spLocks/>
        </xdr:cNvSpPr>
      </xdr:nvSpPr>
      <xdr:spPr>
        <a:xfrm>
          <a:off x="0" y="1133475"/>
          <a:ext cx="8553450" cy="3238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11</xdr:col>
      <xdr:colOff>0</xdr:colOff>
      <xdr:row>28</xdr:row>
      <xdr:rowOff>161925</xdr:rowOff>
    </xdr:to>
    <xdr:sp>
      <xdr:nvSpPr>
        <xdr:cNvPr id="6" name="Téglalap 6"/>
        <xdr:cNvSpPr>
          <a:spLocks/>
        </xdr:cNvSpPr>
      </xdr:nvSpPr>
      <xdr:spPr>
        <a:xfrm>
          <a:off x="0" y="1143000"/>
          <a:ext cx="8553450" cy="3552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11</xdr:col>
      <xdr:colOff>0</xdr:colOff>
      <xdr:row>26</xdr:row>
      <xdr:rowOff>161925</xdr:rowOff>
    </xdr:to>
    <xdr:sp>
      <xdr:nvSpPr>
        <xdr:cNvPr id="7" name="Téglalap 7"/>
        <xdr:cNvSpPr>
          <a:spLocks/>
        </xdr:cNvSpPr>
      </xdr:nvSpPr>
      <xdr:spPr>
        <a:xfrm>
          <a:off x="0" y="1133475"/>
          <a:ext cx="8553450" cy="3238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11</xdr:col>
      <xdr:colOff>0</xdr:colOff>
      <xdr:row>25</xdr:row>
      <xdr:rowOff>161925</xdr:rowOff>
    </xdr:to>
    <xdr:sp>
      <xdr:nvSpPr>
        <xdr:cNvPr id="8" name="Téglalap 9"/>
        <xdr:cNvSpPr>
          <a:spLocks/>
        </xdr:cNvSpPr>
      </xdr:nvSpPr>
      <xdr:spPr>
        <a:xfrm>
          <a:off x="0" y="1133475"/>
          <a:ext cx="8553450" cy="30765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11</xdr:col>
      <xdr:colOff>0</xdr:colOff>
      <xdr:row>27</xdr:row>
      <xdr:rowOff>161925</xdr:rowOff>
    </xdr:to>
    <xdr:sp>
      <xdr:nvSpPr>
        <xdr:cNvPr id="9" name="Téglalap 10"/>
        <xdr:cNvSpPr>
          <a:spLocks/>
        </xdr:cNvSpPr>
      </xdr:nvSpPr>
      <xdr:spPr>
        <a:xfrm>
          <a:off x="0" y="1143000"/>
          <a:ext cx="8553450" cy="33909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11</xdr:col>
      <xdr:colOff>0</xdr:colOff>
      <xdr:row>25</xdr:row>
      <xdr:rowOff>161925</xdr:rowOff>
    </xdr:to>
    <xdr:sp>
      <xdr:nvSpPr>
        <xdr:cNvPr id="10" name="Téglalap 11"/>
        <xdr:cNvSpPr>
          <a:spLocks/>
        </xdr:cNvSpPr>
      </xdr:nvSpPr>
      <xdr:spPr>
        <a:xfrm>
          <a:off x="0" y="1133475"/>
          <a:ext cx="8553450" cy="30765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11</xdr:col>
      <xdr:colOff>0</xdr:colOff>
      <xdr:row>27</xdr:row>
      <xdr:rowOff>161925</xdr:rowOff>
    </xdr:to>
    <xdr:sp>
      <xdr:nvSpPr>
        <xdr:cNvPr id="11" name="Téglalap 12"/>
        <xdr:cNvSpPr>
          <a:spLocks/>
        </xdr:cNvSpPr>
      </xdr:nvSpPr>
      <xdr:spPr>
        <a:xfrm>
          <a:off x="0" y="1143000"/>
          <a:ext cx="8553450" cy="33909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11</xdr:col>
      <xdr:colOff>0</xdr:colOff>
      <xdr:row>26</xdr:row>
      <xdr:rowOff>161925</xdr:rowOff>
    </xdr:to>
    <xdr:sp>
      <xdr:nvSpPr>
        <xdr:cNvPr id="12" name="Téglalap 13"/>
        <xdr:cNvSpPr>
          <a:spLocks/>
        </xdr:cNvSpPr>
      </xdr:nvSpPr>
      <xdr:spPr>
        <a:xfrm>
          <a:off x="0" y="1133475"/>
          <a:ext cx="8553450" cy="3238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11</xdr:col>
      <xdr:colOff>0</xdr:colOff>
      <xdr:row>28</xdr:row>
      <xdr:rowOff>161925</xdr:rowOff>
    </xdr:to>
    <xdr:sp>
      <xdr:nvSpPr>
        <xdr:cNvPr id="13" name="Téglalap 14"/>
        <xdr:cNvSpPr>
          <a:spLocks/>
        </xdr:cNvSpPr>
      </xdr:nvSpPr>
      <xdr:spPr>
        <a:xfrm>
          <a:off x="0" y="1143000"/>
          <a:ext cx="8553450" cy="3552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11</xdr:col>
      <xdr:colOff>0</xdr:colOff>
      <xdr:row>26</xdr:row>
      <xdr:rowOff>161925</xdr:rowOff>
    </xdr:to>
    <xdr:sp>
      <xdr:nvSpPr>
        <xdr:cNvPr id="14" name="Téglalap 15"/>
        <xdr:cNvSpPr>
          <a:spLocks/>
        </xdr:cNvSpPr>
      </xdr:nvSpPr>
      <xdr:spPr>
        <a:xfrm>
          <a:off x="0" y="1133475"/>
          <a:ext cx="8553450" cy="3238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Rendszergazda\Dokumentumok\adatok\2003\02ELO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Rendszergazda\Dokumentumok\adatok\2005\GAFI%20el&#337;ir&#225;nyz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Rendszergazda\Dokumentumok\Documents%20and%20Settings\Marg&#243;\Dokumentumok\j&#243;%20k&#246;lts&#233;gvet&#233;si%20anyag\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FI ei.kiad."/>
      <sheetName val="GAFI ei.bev"/>
      <sheetName val="Bevétel_2"/>
      <sheetName val="Kiadás 2"/>
      <sheetName val="Bevétel"/>
      <sheetName val="Kiadás"/>
      <sheetName val="Eedeti_3"/>
      <sheetName val="Eredeti_2"/>
      <sheetName val="Eredeti_1"/>
      <sheetName val="Eredeti"/>
      <sheetName val="Munka1"/>
      <sheetName val="Munka2"/>
      <sheetName val="Dok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.57421875" style="0" customWidth="1"/>
    <col min="2" max="2" width="83.7109375" style="0" customWidth="1"/>
  </cols>
  <sheetData>
    <row r="1" spans="1:2" ht="12.75">
      <c r="A1" s="1" t="s">
        <v>0</v>
      </c>
      <c r="B1" s="1"/>
    </row>
    <row r="2" spans="1:2" ht="27" customHeight="1">
      <c r="A2" s="2"/>
      <c r="B2" s="2"/>
    </row>
    <row r="3" spans="1:2" ht="18" customHeight="1">
      <c r="A3" s="3" t="s">
        <v>1</v>
      </c>
      <c r="B3" s="4" t="s">
        <v>2</v>
      </c>
    </row>
    <row r="4" spans="1:2" ht="32.25" customHeight="1">
      <c r="A4" s="3" t="s">
        <v>3</v>
      </c>
      <c r="B4" s="4" t="s">
        <v>4</v>
      </c>
    </row>
    <row r="5" spans="1:2" ht="33" customHeight="1">
      <c r="A5" s="3" t="s">
        <v>5</v>
      </c>
      <c r="B5" s="4" t="s">
        <v>6</v>
      </c>
    </row>
    <row r="6" spans="1:2" ht="31.5" customHeight="1">
      <c r="A6" s="3" t="s">
        <v>7</v>
      </c>
      <c r="B6" s="4" t="s">
        <v>8</v>
      </c>
    </row>
    <row r="7" spans="1:2" ht="31.5" customHeight="1">
      <c r="A7" s="3" t="s">
        <v>9</v>
      </c>
      <c r="B7" s="4" t="s">
        <v>10</v>
      </c>
    </row>
    <row r="8" spans="1:2" ht="30" customHeight="1">
      <c r="A8" s="3" t="s">
        <v>11</v>
      </c>
      <c r="B8" s="4" t="s">
        <v>12</v>
      </c>
    </row>
    <row r="9" spans="1:2" ht="19.5" customHeight="1">
      <c r="A9" s="3" t="s">
        <v>13</v>
      </c>
      <c r="B9" s="4" t="s">
        <v>14</v>
      </c>
    </row>
    <row r="10" spans="1:2" ht="30" customHeight="1">
      <c r="A10" s="3" t="s">
        <v>15</v>
      </c>
      <c r="B10" s="4" t="s">
        <v>16</v>
      </c>
    </row>
    <row r="11" spans="1:2" ht="31.5" customHeight="1">
      <c r="A11" s="3" t="s">
        <v>17</v>
      </c>
      <c r="B11" s="4" t="s">
        <v>18</v>
      </c>
    </row>
    <row r="12" spans="1:2" ht="16.5" customHeight="1">
      <c r="A12" s="3" t="s">
        <v>19</v>
      </c>
      <c r="B12" s="4" t="s">
        <v>20</v>
      </c>
    </row>
    <row r="13" spans="1:2" ht="16.5" customHeight="1">
      <c r="A13" s="3" t="s">
        <v>21</v>
      </c>
      <c r="B13" s="4" t="s">
        <v>22</v>
      </c>
    </row>
    <row r="14" spans="1:2" ht="18" customHeight="1">
      <c r="A14" s="3" t="s">
        <v>23</v>
      </c>
      <c r="B14" s="4" t="s">
        <v>24</v>
      </c>
    </row>
    <row r="15" spans="1:2" ht="18.75" customHeight="1">
      <c r="A15" s="3" t="s">
        <v>25</v>
      </c>
      <c r="B15" s="3" t="s">
        <v>26</v>
      </c>
    </row>
    <row r="16" spans="1:2" ht="18.75" customHeight="1">
      <c r="A16" s="3" t="s">
        <v>27</v>
      </c>
      <c r="B16" s="4" t="s">
        <v>28</v>
      </c>
    </row>
    <row r="17" spans="1:2" ht="17.25" customHeight="1">
      <c r="A17" s="5"/>
      <c r="B17" s="6"/>
    </row>
  </sheetData>
  <sheetProtection selectLockedCells="1" selectUnlockedCells="1"/>
  <mergeCells count="2">
    <mergeCell ref="A1:B1"/>
    <mergeCell ref="A2:B2"/>
  </mergeCells>
  <printOptions/>
  <pageMargins left="0.7479166666666667" right="0.7402777777777778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41"/>
  <sheetViews>
    <sheetView workbookViewId="0" topLeftCell="A4">
      <selection activeCell="C23" sqref="C23"/>
    </sheetView>
  </sheetViews>
  <sheetFormatPr defaultColWidth="9.140625" defaultRowHeight="12.75"/>
  <cols>
    <col min="1" max="1" width="32.8515625" style="367" customWidth="1"/>
    <col min="2" max="2" width="8.140625" style="367" customWidth="1"/>
    <col min="3" max="3" width="8.28125" style="367" customWidth="1"/>
    <col min="4" max="4" width="8.00390625" style="367" customWidth="1"/>
    <col min="5" max="5" width="8.28125" style="367" customWidth="1"/>
    <col min="6" max="8" width="8.00390625" style="367" customWidth="1"/>
    <col min="9" max="9" width="11.00390625" style="368" customWidth="1"/>
  </cols>
  <sheetData>
    <row r="7" spans="1:9" ht="43.5" customHeight="1">
      <c r="A7" s="394" t="s">
        <v>18</v>
      </c>
      <c r="B7" s="394"/>
      <c r="C7" s="394"/>
      <c r="D7" s="394"/>
      <c r="E7" s="394"/>
      <c r="F7" s="394"/>
      <c r="G7" s="394"/>
      <c r="H7" s="394"/>
      <c r="I7" s="394"/>
    </row>
    <row r="8" spans="1:9" ht="15.75" customHeight="1">
      <c r="A8" s="395"/>
      <c r="B8" s="395"/>
      <c r="C8" s="395"/>
      <c r="D8" s="395"/>
      <c r="E8" s="395"/>
      <c r="F8" s="395"/>
      <c r="G8" s="395"/>
      <c r="H8" s="395"/>
      <c r="I8" s="395"/>
    </row>
    <row r="9" spans="1:9" ht="15.75" customHeight="1">
      <c r="A9" s="395"/>
      <c r="B9" s="395"/>
      <c r="C9" s="395"/>
      <c r="D9" s="395"/>
      <c r="E9" s="395"/>
      <c r="F9" s="395"/>
      <c r="G9" s="395"/>
      <c r="H9" s="395"/>
      <c r="I9" s="395"/>
    </row>
    <row r="10" ht="12.75">
      <c r="I10" s="371" t="s">
        <v>169</v>
      </c>
    </row>
    <row r="11" spans="1:9" ht="12.75" customHeight="1">
      <c r="A11" s="372" t="s">
        <v>344</v>
      </c>
      <c r="B11" s="372"/>
      <c r="C11" s="373" t="s">
        <v>383</v>
      </c>
      <c r="D11" s="373" t="s">
        <v>384</v>
      </c>
      <c r="E11" s="373" t="s">
        <v>385</v>
      </c>
      <c r="F11" s="373" t="s">
        <v>386</v>
      </c>
      <c r="G11" s="373" t="s">
        <v>387</v>
      </c>
      <c r="H11" s="373" t="s">
        <v>388</v>
      </c>
      <c r="I11" s="374" t="s">
        <v>349</v>
      </c>
    </row>
    <row r="12" spans="1:9" ht="23.25" customHeight="1">
      <c r="A12" s="376" t="s">
        <v>31</v>
      </c>
      <c r="B12" s="377" t="s">
        <v>350</v>
      </c>
      <c r="C12" s="373"/>
      <c r="D12" s="373"/>
      <c r="E12" s="373"/>
      <c r="F12" s="373"/>
      <c r="G12" s="373"/>
      <c r="H12" s="373"/>
      <c r="I12" s="374"/>
    </row>
    <row r="13" spans="1:9" ht="32.25" customHeight="1">
      <c r="A13" s="379" t="s">
        <v>351</v>
      </c>
      <c r="B13" s="380" t="s">
        <v>352</v>
      </c>
      <c r="C13" s="381">
        <f>4+57</f>
        <v>61</v>
      </c>
      <c r="D13" s="381"/>
      <c r="E13" s="381"/>
      <c r="F13" s="381"/>
      <c r="G13" s="381"/>
      <c r="H13" s="381"/>
      <c r="I13" s="382">
        <f aca="true" t="shared" si="0" ref="I13:I40">SUM(C13:H13)</f>
        <v>61</v>
      </c>
    </row>
    <row r="14" spans="1:9" ht="32.25" customHeight="1">
      <c r="A14" s="383" t="s">
        <v>353</v>
      </c>
      <c r="B14" s="384">
        <v>221214</v>
      </c>
      <c r="C14" s="385">
        <f>553+134+57</f>
        <v>744</v>
      </c>
      <c r="D14" s="385"/>
      <c r="E14" s="385"/>
      <c r="F14" s="385"/>
      <c r="G14" s="385"/>
      <c r="H14" s="385"/>
      <c r="I14" s="386">
        <f t="shared" si="0"/>
        <v>744</v>
      </c>
    </row>
    <row r="15" spans="1:9" ht="32.25" customHeight="1">
      <c r="A15" s="383" t="s">
        <v>356</v>
      </c>
      <c r="B15" s="384">
        <v>631211</v>
      </c>
      <c r="C15" s="385"/>
      <c r="D15" s="385"/>
      <c r="E15" s="385"/>
      <c r="F15" s="385"/>
      <c r="G15" s="385"/>
      <c r="H15" s="385"/>
      <c r="I15" s="386">
        <f>C15+D15+E15+F15+H15</f>
        <v>0</v>
      </c>
    </row>
    <row r="16" spans="1:9" ht="32.25" customHeight="1">
      <c r="A16" s="383" t="s">
        <v>357</v>
      </c>
      <c r="B16" s="384">
        <v>701015</v>
      </c>
      <c r="C16" s="385">
        <f>103+1622+1+24</f>
        <v>1750</v>
      </c>
      <c r="D16" s="385"/>
      <c r="E16" s="385"/>
      <c r="F16" s="385"/>
      <c r="G16" s="385"/>
      <c r="H16" s="385"/>
      <c r="I16" s="386">
        <f t="shared" si="0"/>
        <v>1750</v>
      </c>
    </row>
    <row r="17" spans="1:9" ht="32.25" customHeight="1">
      <c r="A17" s="383" t="s">
        <v>358</v>
      </c>
      <c r="B17" s="384">
        <v>751153</v>
      </c>
      <c r="C17" s="387">
        <f>4317+8+180+120+779+15+15+23023+269+1141-4642</f>
        <v>25225</v>
      </c>
      <c r="D17" s="387"/>
      <c r="E17" s="387"/>
      <c r="F17" s="388">
        <v>2431</v>
      </c>
      <c r="G17" s="388">
        <v>15027</v>
      </c>
      <c r="H17" s="388"/>
      <c r="I17" s="386">
        <f t="shared" si="0"/>
        <v>42683</v>
      </c>
    </row>
    <row r="18" spans="1:9" ht="32.25" customHeight="1">
      <c r="A18" s="383" t="s">
        <v>360</v>
      </c>
      <c r="B18" s="384">
        <v>751175</v>
      </c>
      <c r="C18" s="387"/>
      <c r="D18" s="387"/>
      <c r="E18" s="387"/>
      <c r="F18" s="388">
        <v>1114</v>
      </c>
      <c r="G18" s="388"/>
      <c r="H18" s="388"/>
      <c r="I18" s="386">
        <f>C18+D18+E18+F18+H18</f>
        <v>1114</v>
      </c>
    </row>
    <row r="19" spans="1:9" ht="32.25" customHeight="1">
      <c r="A19" s="383" t="s">
        <v>361</v>
      </c>
      <c r="B19" s="384">
        <v>751757</v>
      </c>
      <c r="C19" s="387"/>
      <c r="D19" s="387"/>
      <c r="E19" s="387"/>
      <c r="F19" s="388">
        <v>10846</v>
      </c>
      <c r="G19" s="388"/>
      <c r="H19" s="388"/>
      <c r="I19" s="386">
        <f>C19+D19+E19+F19+H19</f>
        <v>10846</v>
      </c>
    </row>
    <row r="20" spans="1:9" ht="32.25" customHeight="1">
      <c r="A20" s="383" t="s">
        <v>389</v>
      </c>
      <c r="B20" s="384">
        <v>751791</v>
      </c>
      <c r="C20" s="387"/>
      <c r="D20" s="387"/>
      <c r="E20" s="387"/>
      <c r="F20" s="388"/>
      <c r="G20" s="388"/>
      <c r="H20" s="388"/>
      <c r="I20" s="386">
        <f>C20+D20+E20+F20+H20</f>
        <v>0</v>
      </c>
    </row>
    <row r="21" spans="1:9" ht="32.25" customHeight="1">
      <c r="A21" s="383" t="s">
        <v>363</v>
      </c>
      <c r="B21" s="384">
        <v>751834</v>
      </c>
      <c r="C21" s="387"/>
      <c r="D21" s="387"/>
      <c r="E21" s="387"/>
      <c r="F21" s="388"/>
      <c r="G21" s="388"/>
      <c r="H21" s="388">
        <v>24</v>
      </c>
      <c r="I21" s="386">
        <f>C21+D21+E21+F21+H21</f>
        <v>24</v>
      </c>
    </row>
    <row r="22" spans="1:9" ht="12.75">
      <c r="A22" s="383" t="s">
        <v>364</v>
      </c>
      <c r="B22" s="384">
        <v>751845</v>
      </c>
      <c r="C22" s="385">
        <f>44+1743+43+752+159+3</f>
        <v>2744</v>
      </c>
      <c r="D22" s="385"/>
      <c r="E22" s="385"/>
      <c r="F22" s="385"/>
      <c r="G22" s="385"/>
      <c r="H22" s="385"/>
      <c r="I22" s="386">
        <f t="shared" si="0"/>
        <v>2744</v>
      </c>
    </row>
    <row r="23" spans="1:9" ht="12.75">
      <c r="A23" s="383" t="s">
        <v>365</v>
      </c>
      <c r="B23" s="384">
        <v>751878</v>
      </c>
      <c r="C23" s="385"/>
      <c r="D23" s="385"/>
      <c r="E23" s="385"/>
      <c r="F23" s="385"/>
      <c r="G23" s="385"/>
      <c r="H23" s="385"/>
      <c r="I23" s="386">
        <f t="shared" si="0"/>
        <v>0</v>
      </c>
    </row>
    <row r="24" spans="1:9" ht="12.75">
      <c r="A24" s="383" t="s">
        <v>390</v>
      </c>
      <c r="B24" s="384">
        <v>751922</v>
      </c>
      <c r="C24" s="385"/>
      <c r="D24" s="385"/>
      <c r="E24" s="385"/>
      <c r="F24" s="385"/>
      <c r="G24" s="385"/>
      <c r="H24" s="385"/>
      <c r="I24" s="386">
        <f t="shared" si="0"/>
        <v>0</v>
      </c>
    </row>
    <row r="25" spans="1:9" ht="12.75">
      <c r="A25" s="383" t="s">
        <v>367</v>
      </c>
      <c r="B25" s="384">
        <v>751966</v>
      </c>
      <c r="C25" s="385"/>
      <c r="D25" s="385">
        <v>293173</v>
      </c>
      <c r="E25" s="385">
        <v>313828</v>
      </c>
      <c r="F25" s="385"/>
      <c r="G25" s="385"/>
      <c r="H25" s="385"/>
      <c r="I25" s="386">
        <f t="shared" si="0"/>
        <v>607001</v>
      </c>
    </row>
    <row r="26" spans="1:9" ht="12.75">
      <c r="A26" s="383" t="s">
        <v>368</v>
      </c>
      <c r="B26" s="384">
        <v>751999</v>
      </c>
      <c r="C26" s="385"/>
      <c r="D26" s="385"/>
      <c r="E26" s="385"/>
      <c r="F26" s="385"/>
      <c r="G26" s="385"/>
      <c r="H26" s="385">
        <f>3824+5000</f>
        <v>8824</v>
      </c>
      <c r="I26" s="386">
        <f t="shared" si="0"/>
        <v>8824</v>
      </c>
    </row>
    <row r="27" spans="1:9" ht="12.75">
      <c r="A27" s="383" t="s">
        <v>391</v>
      </c>
      <c r="B27" s="384">
        <v>852018</v>
      </c>
      <c r="C27" s="385"/>
      <c r="D27" s="385"/>
      <c r="E27" s="385"/>
      <c r="F27" s="385"/>
      <c r="G27" s="385"/>
      <c r="H27" s="385"/>
      <c r="I27" s="386">
        <f t="shared" si="0"/>
        <v>0</v>
      </c>
    </row>
    <row r="28" spans="1:9" ht="12.75">
      <c r="A28" s="383" t="s">
        <v>392</v>
      </c>
      <c r="B28" s="384">
        <v>853170</v>
      </c>
      <c r="C28" s="385"/>
      <c r="D28" s="385"/>
      <c r="E28" s="385"/>
      <c r="F28" s="385"/>
      <c r="G28" s="385"/>
      <c r="H28" s="385"/>
      <c r="I28" s="386">
        <f t="shared" si="0"/>
        <v>0</v>
      </c>
    </row>
    <row r="29" spans="1:9" ht="12.75">
      <c r="A29" s="383" t="s">
        <v>371</v>
      </c>
      <c r="B29" s="384">
        <v>853288</v>
      </c>
      <c r="C29" s="385"/>
      <c r="D29" s="385"/>
      <c r="E29" s="385"/>
      <c r="F29" s="385"/>
      <c r="G29" s="385"/>
      <c r="H29" s="385"/>
      <c r="I29" s="386">
        <f t="shared" si="0"/>
        <v>0</v>
      </c>
    </row>
    <row r="30" spans="1:9" ht="12.75">
      <c r="A30" s="383" t="s">
        <v>372</v>
      </c>
      <c r="B30" s="384">
        <v>853311</v>
      </c>
      <c r="C30" s="385"/>
      <c r="D30" s="385"/>
      <c r="E30" s="385"/>
      <c r="F30" s="385"/>
      <c r="G30" s="385"/>
      <c r="H30" s="385"/>
      <c r="I30" s="386">
        <f t="shared" si="0"/>
        <v>0</v>
      </c>
    </row>
    <row r="31" spans="1:9" ht="12.75">
      <c r="A31" s="383" t="s">
        <v>373</v>
      </c>
      <c r="B31" s="384">
        <v>853322</v>
      </c>
      <c r="C31" s="385"/>
      <c r="D31" s="385"/>
      <c r="E31" s="385"/>
      <c r="F31" s="385">
        <v>3087</v>
      </c>
      <c r="G31" s="385"/>
      <c r="H31" s="385"/>
      <c r="I31" s="386">
        <f t="shared" si="0"/>
        <v>3087</v>
      </c>
    </row>
    <row r="32" spans="1:9" ht="12.75">
      <c r="A32" s="383" t="s">
        <v>374</v>
      </c>
      <c r="B32" s="384">
        <v>853344</v>
      </c>
      <c r="C32" s="385"/>
      <c r="D32" s="385"/>
      <c r="E32" s="385"/>
      <c r="F32" s="385">
        <v>3657</v>
      </c>
      <c r="G32" s="385"/>
      <c r="H32" s="385"/>
      <c r="I32" s="386">
        <f t="shared" si="0"/>
        <v>3657</v>
      </c>
    </row>
    <row r="33" spans="1:9" ht="12.75">
      <c r="A33" s="383" t="s">
        <v>375</v>
      </c>
      <c r="B33" s="384">
        <v>853355</v>
      </c>
      <c r="C33" s="385"/>
      <c r="D33" s="385"/>
      <c r="E33" s="385"/>
      <c r="F33" s="385">
        <v>7952</v>
      </c>
      <c r="G33" s="385"/>
      <c r="H33" s="385"/>
      <c r="I33" s="386">
        <f t="shared" si="0"/>
        <v>7952</v>
      </c>
    </row>
    <row r="34" spans="1:9" ht="12.75">
      <c r="A34" s="383" t="s">
        <v>393</v>
      </c>
      <c r="B34" s="384">
        <v>901116</v>
      </c>
      <c r="C34" s="385"/>
      <c r="D34" s="385"/>
      <c r="E34" s="385"/>
      <c r="F34" s="385"/>
      <c r="G34" s="385"/>
      <c r="H34" s="385"/>
      <c r="I34" s="386">
        <f t="shared" si="0"/>
        <v>0</v>
      </c>
    </row>
    <row r="35" spans="1:9" ht="12.75">
      <c r="A35" s="383" t="s">
        <v>394</v>
      </c>
      <c r="B35" s="384">
        <v>902113</v>
      </c>
      <c r="C35" s="385"/>
      <c r="D35" s="385"/>
      <c r="E35" s="385"/>
      <c r="F35" s="385"/>
      <c r="G35" s="385"/>
      <c r="H35" s="385"/>
      <c r="I35" s="386">
        <f t="shared" si="0"/>
        <v>0</v>
      </c>
    </row>
    <row r="36" spans="1:9" ht="12.75">
      <c r="A36" s="383" t="s">
        <v>395</v>
      </c>
      <c r="B36" s="384">
        <v>921420</v>
      </c>
      <c r="C36" s="385"/>
      <c r="D36" s="385"/>
      <c r="E36" s="385"/>
      <c r="F36" s="385"/>
      <c r="G36" s="385"/>
      <c r="H36" s="385"/>
      <c r="I36" s="386">
        <f t="shared" si="0"/>
        <v>0</v>
      </c>
    </row>
    <row r="37" spans="1:9" ht="12.75">
      <c r="A37" s="383" t="s">
        <v>379</v>
      </c>
      <c r="B37" s="384">
        <v>921815</v>
      </c>
      <c r="C37" s="385">
        <v>180</v>
      </c>
      <c r="D37" s="385"/>
      <c r="E37" s="385"/>
      <c r="F37" s="385"/>
      <c r="G37" s="385"/>
      <c r="H37" s="385"/>
      <c r="I37" s="386">
        <f t="shared" si="0"/>
        <v>180</v>
      </c>
    </row>
    <row r="38" spans="1:9" ht="12.75">
      <c r="A38" s="383" t="s">
        <v>380</v>
      </c>
      <c r="B38" s="384">
        <v>924014</v>
      </c>
      <c r="C38" s="385">
        <f>53+132+8+17+12</f>
        <v>222</v>
      </c>
      <c r="D38" s="385"/>
      <c r="E38" s="385"/>
      <c r="F38" s="385"/>
      <c r="G38" s="385"/>
      <c r="H38" s="385"/>
      <c r="I38" s="386">
        <f t="shared" si="0"/>
        <v>222</v>
      </c>
    </row>
    <row r="39" spans="1:9" ht="12.75">
      <c r="A39" s="383" t="s">
        <v>381</v>
      </c>
      <c r="B39" s="384">
        <v>930316</v>
      </c>
      <c r="C39" s="385"/>
      <c r="D39" s="385"/>
      <c r="E39" s="385"/>
      <c r="F39" s="385"/>
      <c r="G39" s="385"/>
      <c r="H39" s="385"/>
      <c r="I39" s="386">
        <f t="shared" si="0"/>
        <v>0</v>
      </c>
    </row>
    <row r="40" spans="1:9" ht="12.75">
      <c r="A40" s="383" t="s">
        <v>382</v>
      </c>
      <c r="B40" s="384">
        <v>930932</v>
      </c>
      <c r="C40" s="385"/>
      <c r="D40" s="385"/>
      <c r="E40" s="385"/>
      <c r="F40" s="385"/>
      <c r="G40" s="385"/>
      <c r="H40" s="385"/>
      <c r="I40" s="386">
        <f t="shared" si="0"/>
        <v>0</v>
      </c>
    </row>
    <row r="41" spans="1:9" ht="12.75">
      <c r="A41" s="391" t="s">
        <v>316</v>
      </c>
      <c r="B41" s="392"/>
      <c r="C41" s="393">
        <f aca="true" t="shared" si="1" ref="C41:I41">SUM(C13:C40)</f>
        <v>30926</v>
      </c>
      <c r="D41" s="393">
        <f t="shared" si="1"/>
        <v>293173</v>
      </c>
      <c r="E41" s="393">
        <f t="shared" si="1"/>
        <v>313828</v>
      </c>
      <c r="F41" s="393">
        <f t="shared" si="1"/>
        <v>29087</v>
      </c>
      <c r="G41" s="393">
        <f t="shared" si="1"/>
        <v>15027</v>
      </c>
      <c r="H41" s="393">
        <f t="shared" si="1"/>
        <v>8848</v>
      </c>
      <c r="I41" s="393">
        <f t="shared" si="1"/>
        <v>690889</v>
      </c>
    </row>
  </sheetData>
  <sheetProtection selectLockedCells="1" selectUnlockedCells="1"/>
  <mergeCells count="9">
    <mergeCell ref="A7:I7"/>
    <mergeCell ref="A11:B11"/>
    <mergeCell ref="C11:C12"/>
    <mergeCell ref="D11:D12"/>
    <mergeCell ref="E11:E12"/>
    <mergeCell ref="F11:F12"/>
    <mergeCell ref="G11:G12"/>
    <mergeCell ref="H11:H12"/>
    <mergeCell ref="I11:I12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 paperSize="9"/>
  <headerFooter alignWithMargins="0">
    <oddHeader>&amp;L&amp;"Arial,Dőlt"Vámospércs Városi Önkormányzat&amp;R&amp;"Arial,Dőlt"9.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G68" sqref="G68"/>
    </sheetView>
  </sheetViews>
  <sheetFormatPr defaultColWidth="9.140625" defaultRowHeight="12.75"/>
  <cols>
    <col min="1" max="1" width="19.57421875" style="21" customWidth="1"/>
    <col min="2" max="2" width="21.421875" style="21" customWidth="1"/>
    <col min="3" max="3" width="11.421875" style="396" customWidth="1"/>
    <col min="4" max="4" width="12.57421875" style="396" customWidth="1"/>
    <col min="5" max="5" width="11.00390625" style="21" customWidth="1"/>
    <col min="6" max="6" width="10.00390625" style="21" customWidth="1"/>
    <col min="7" max="7" width="9.421875" style="21" customWidth="1"/>
    <col min="8" max="8" width="9.8515625" style="21" customWidth="1"/>
    <col min="9" max="9" width="9.57421875" style="21" customWidth="1"/>
    <col min="10" max="11" width="9.140625" style="21" customWidth="1"/>
  </cols>
  <sheetData>
    <row r="1" spans="1:11" ht="12.7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8:11" ht="12.75">
      <c r="H4" s="398"/>
      <c r="I4" s="398"/>
      <c r="K4" s="21" t="s">
        <v>396</v>
      </c>
    </row>
    <row r="5" spans="1:11" ht="12.75" customHeight="1">
      <c r="A5" s="399" t="s">
        <v>397</v>
      </c>
      <c r="B5" s="399" t="s">
        <v>398</v>
      </c>
      <c r="C5" s="399" t="s">
        <v>399</v>
      </c>
      <c r="D5" s="399" t="s">
        <v>400</v>
      </c>
      <c r="E5" s="399" t="s">
        <v>401</v>
      </c>
      <c r="F5" s="400" t="s">
        <v>402</v>
      </c>
      <c r="G5" s="399" t="s">
        <v>403</v>
      </c>
      <c r="H5" s="399"/>
      <c r="I5" s="399"/>
      <c r="J5" s="399"/>
      <c r="K5" s="399"/>
    </row>
    <row r="6" spans="1:11" ht="18.75" customHeight="1">
      <c r="A6" s="399"/>
      <c r="B6" s="399"/>
      <c r="C6" s="399"/>
      <c r="D6" s="399"/>
      <c r="E6" s="399"/>
      <c r="F6" s="400"/>
      <c r="G6" s="401" t="s">
        <v>330</v>
      </c>
      <c r="H6" s="401" t="s">
        <v>404</v>
      </c>
      <c r="I6" s="401" t="s">
        <v>405</v>
      </c>
      <c r="J6" s="401" t="s">
        <v>406</v>
      </c>
      <c r="K6" s="401" t="s">
        <v>407</v>
      </c>
    </row>
    <row r="7" spans="1:11" ht="12.75">
      <c r="A7" s="34" t="s">
        <v>408</v>
      </c>
      <c r="B7" s="38"/>
      <c r="C7" s="33"/>
      <c r="D7" s="33"/>
      <c r="E7" s="38"/>
      <c r="F7" s="38"/>
      <c r="G7" s="38"/>
      <c r="H7" s="38"/>
      <c r="I7" s="38"/>
      <c r="J7" s="38"/>
      <c r="K7" s="38"/>
    </row>
    <row r="8" spans="1:11" ht="12.75">
      <c r="A8" s="38" t="s">
        <v>409</v>
      </c>
      <c r="B8" s="38" t="s">
        <v>410</v>
      </c>
      <c r="C8" s="402">
        <v>37559</v>
      </c>
      <c r="D8" s="402">
        <v>44640</v>
      </c>
      <c r="E8" s="36">
        <v>18942</v>
      </c>
      <c r="F8" s="36">
        <v>11742</v>
      </c>
      <c r="G8" s="36">
        <v>960</v>
      </c>
      <c r="H8" s="36">
        <v>960</v>
      </c>
      <c r="I8" s="36">
        <v>960</v>
      </c>
      <c r="J8" s="36">
        <v>960</v>
      </c>
      <c r="K8" s="403">
        <f aca="true" t="shared" si="0" ref="K8:K14">F8-(H8+I8+J8)</f>
        <v>8862</v>
      </c>
    </row>
    <row r="9" spans="1:11" ht="12.75">
      <c r="A9" s="38" t="s">
        <v>409</v>
      </c>
      <c r="B9" s="38" t="s">
        <v>411</v>
      </c>
      <c r="C9" s="402">
        <v>38777</v>
      </c>
      <c r="D9" s="402">
        <v>40148</v>
      </c>
      <c r="E9" s="36">
        <v>10500</v>
      </c>
      <c r="F9" s="36">
        <v>0</v>
      </c>
      <c r="G9" s="36">
        <v>290</v>
      </c>
      <c r="H9" s="36"/>
      <c r="I9" s="36"/>
      <c r="J9" s="403"/>
      <c r="K9" s="403">
        <f t="shared" si="0"/>
        <v>0</v>
      </c>
    </row>
    <row r="10" spans="1:11" ht="12.75">
      <c r="A10" s="38" t="s">
        <v>409</v>
      </c>
      <c r="B10" s="38" t="s">
        <v>412</v>
      </c>
      <c r="C10" s="33" t="s">
        <v>413</v>
      </c>
      <c r="D10" s="33" t="s">
        <v>414</v>
      </c>
      <c r="E10" s="36">
        <v>14500</v>
      </c>
      <c r="F10" s="36">
        <v>10545</v>
      </c>
      <c r="G10" s="36">
        <v>989</v>
      </c>
      <c r="H10" s="36">
        <v>989</v>
      </c>
      <c r="I10" s="36">
        <v>989</v>
      </c>
      <c r="J10" s="36">
        <v>989</v>
      </c>
      <c r="K10" s="403">
        <f t="shared" si="0"/>
        <v>7578</v>
      </c>
    </row>
    <row r="11" spans="1:11" ht="12.75">
      <c r="A11" s="38" t="s">
        <v>409</v>
      </c>
      <c r="B11" s="404" t="s">
        <v>415</v>
      </c>
      <c r="C11" s="33" t="s">
        <v>416</v>
      </c>
      <c r="D11" s="33" t="s">
        <v>417</v>
      </c>
      <c r="E11" s="36">
        <v>38358</v>
      </c>
      <c r="F11" s="36">
        <v>15773</v>
      </c>
      <c r="G11" s="36">
        <v>1642</v>
      </c>
      <c r="H11" s="36">
        <f>129+147+141+141+138+143+133+150+147+140+153+147</f>
        <v>1709</v>
      </c>
      <c r="I11" s="36">
        <f>148+160+150+148+160+158+152+160+161+159+164</f>
        <v>1720</v>
      </c>
      <c r="J11" s="36">
        <f>155+170+171+160+177+169+167+178+173+175+179+180+179</f>
        <v>2233</v>
      </c>
      <c r="K11" s="403">
        <f t="shared" si="0"/>
        <v>10111</v>
      </c>
    </row>
    <row r="12" spans="1:11" ht="12.75">
      <c r="A12" s="38" t="s">
        <v>409</v>
      </c>
      <c r="B12" s="404" t="s">
        <v>418</v>
      </c>
      <c r="C12" s="33" t="s">
        <v>419</v>
      </c>
      <c r="D12" s="402">
        <v>44895</v>
      </c>
      <c r="E12" s="36">
        <f>29686+22583</f>
        <v>52269</v>
      </c>
      <c r="F12" s="36">
        <v>47926</v>
      </c>
      <c r="G12" s="36">
        <v>2858</v>
      </c>
      <c r="H12" s="36">
        <v>2861</v>
      </c>
      <c r="I12" s="36">
        <v>3153</v>
      </c>
      <c r="J12" s="36">
        <v>3452</v>
      </c>
      <c r="K12" s="403">
        <f t="shared" si="0"/>
        <v>38460</v>
      </c>
    </row>
    <row r="13" spans="1:11" ht="12.75">
      <c r="A13" s="38" t="s">
        <v>409</v>
      </c>
      <c r="B13" s="404" t="s">
        <v>418</v>
      </c>
      <c r="C13" s="33" t="s">
        <v>420</v>
      </c>
      <c r="D13" s="402">
        <v>44895</v>
      </c>
      <c r="E13" s="36"/>
      <c r="F13" s="36"/>
      <c r="G13" s="36"/>
      <c r="H13" s="36"/>
      <c r="I13" s="36"/>
      <c r="J13" s="36"/>
      <c r="K13" s="403"/>
    </row>
    <row r="14" spans="1:11" ht="12.75">
      <c r="A14" s="38" t="s">
        <v>421</v>
      </c>
      <c r="B14" s="404" t="s">
        <v>422</v>
      </c>
      <c r="C14" s="33" t="s">
        <v>423</v>
      </c>
      <c r="D14" s="402">
        <v>46660</v>
      </c>
      <c r="E14" s="36">
        <v>300000</v>
      </c>
      <c r="F14" s="36">
        <v>300000</v>
      </c>
      <c r="G14" s="36"/>
      <c r="H14" s="36"/>
      <c r="I14" s="36">
        <v>17650</v>
      </c>
      <c r="J14" s="36">
        <v>17650</v>
      </c>
      <c r="K14" s="403">
        <f t="shared" si="0"/>
        <v>264700</v>
      </c>
    </row>
    <row r="15" spans="1:11" ht="12.75">
      <c r="A15" s="405" t="s">
        <v>424</v>
      </c>
      <c r="B15" s="38"/>
      <c r="C15" s="402"/>
      <c r="D15" s="33"/>
      <c r="E15" s="35">
        <f>SUM(E8:E14)</f>
        <v>434569</v>
      </c>
      <c r="F15" s="35">
        <f aca="true" t="shared" si="1" ref="F15:K15">SUM(F8:F14)</f>
        <v>385986</v>
      </c>
      <c r="G15" s="35">
        <f t="shared" si="1"/>
        <v>6739</v>
      </c>
      <c r="H15" s="35">
        <f t="shared" si="1"/>
        <v>6519</v>
      </c>
      <c r="I15" s="35">
        <f t="shared" si="1"/>
        <v>24472</v>
      </c>
      <c r="J15" s="35">
        <f t="shared" si="1"/>
        <v>25284</v>
      </c>
      <c r="K15" s="35">
        <f t="shared" si="1"/>
        <v>329711</v>
      </c>
    </row>
    <row r="16" spans="1:11" ht="12.75">
      <c r="A16" s="34" t="s">
        <v>425</v>
      </c>
      <c r="B16" s="38"/>
      <c r="C16" s="33"/>
      <c r="D16" s="33"/>
      <c r="E16" s="38"/>
      <c r="F16" s="36"/>
      <c r="G16" s="36"/>
      <c r="H16" s="36"/>
      <c r="I16" s="36"/>
      <c r="J16" s="36"/>
      <c r="K16" s="403">
        <f>F16-(G16+H16+I16+J16)</f>
        <v>0</v>
      </c>
    </row>
    <row r="17" spans="1:11" ht="12.75">
      <c r="A17" s="38" t="s">
        <v>409</v>
      </c>
      <c r="B17" s="38" t="s">
        <v>426</v>
      </c>
      <c r="C17" s="33"/>
      <c r="D17" s="33"/>
      <c r="E17" s="38"/>
      <c r="F17" s="36">
        <v>43406</v>
      </c>
      <c r="G17" s="36"/>
      <c r="H17" s="36">
        <v>43406</v>
      </c>
      <c r="I17" s="36"/>
      <c r="J17" s="36"/>
      <c r="K17" s="403">
        <f>F17-(G17+H17+I17+J17)</f>
        <v>0</v>
      </c>
    </row>
    <row r="18" spans="1:11" ht="12.75">
      <c r="A18" s="38" t="s">
        <v>409</v>
      </c>
      <c r="B18" s="38" t="s">
        <v>427</v>
      </c>
      <c r="C18" s="33"/>
      <c r="D18" s="33"/>
      <c r="E18" s="38"/>
      <c r="F18" s="36">
        <v>5000</v>
      </c>
      <c r="G18" s="36"/>
      <c r="H18" s="36">
        <v>5000</v>
      </c>
      <c r="I18" s="36"/>
      <c r="J18" s="36"/>
      <c r="K18" s="403">
        <f>F18-(G18+H18+I18+J18)</f>
        <v>0</v>
      </c>
    </row>
    <row r="19" spans="1:11" ht="12.75">
      <c r="A19" s="38" t="s">
        <v>409</v>
      </c>
      <c r="B19" s="38"/>
      <c r="C19" s="402">
        <v>39438</v>
      </c>
      <c r="D19" s="402">
        <v>40147</v>
      </c>
      <c r="E19" s="36">
        <v>50000</v>
      </c>
      <c r="F19" s="36">
        <v>0</v>
      </c>
      <c r="G19" s="36">
        <v>27747</v>
      </c>
      <c r="H19" s="36"/>
      <c r="I19" s="36"/>
      <c r="J19" s="36"/>
      <c r="K19" s="403">
        <f>F19-(H19+I19+J19)</f>
        <v>0</v>
      </c>
    </row>
    <row r="20" spans="1:11" ht="12.75">
      <c r="A20" s="34" t="s">
        <v>428</v>
      </c>
      <c r="B20" s="38"/>
      <c r="C20" s="402"/>
      <c r="D20" s="402"/>
      <c r="E20" s="35">
        <f>SUM(E17:E19)</f>
        <v>50000</v>
      </c>
      <c r="F20" s="35">
        <f aca="true" t="shared" si="2" ref="F20:K20">SUM(F17:F19)</f>
        <v>48406</v>
      </c>
      <c r="G20" s="35">
        <f t="shared" si="2"/>
        <v>27747</v>
      </c>
      <c r="H20" s="35">
        <f t="shared" si="2"/>
        <v>48406</v>
      </c>
      <c r="I20" s="35">
        <f t="shared" si="2"/>
        <v>0</v>
      </c>
      <c r="J20" s="35">
        <f t="shared" si="2"/>
        <v>0</v>
      </c>
      <c r="K20" s="35">
        <f t="shared" si="2"/>
        <v>0</v>
      </c>
    </row>
    <row r="21" spans="1:11" ht="12.75">
      <c r="A21" s="34" t="s">
        <v>429</v>
      </c>
      <c r="B21" s="34"/>
      <c r="C21" s="406"/>
      <c r="D21" s="406"/>
      <c r="E21" s="35">
        <f>SUM(E15,E20)</f>
        <v>484569</v>
      </c>
      <c r="F21" s="35">
        <f aca="true" t="shared" si="3" ref="F21:K21">SUM(F15,F20)</f>
        <v>434392</v>
      </c>
      <c r="G21" s="35">
        <f t="shared" si="3"/>
        <v>34486</v>
      </c>
      <c r="H21" s="35">
        <f t="shared" si="3"/>
        <v>54925</v>
      </c>
      <c r="I21" s="35">
        <f t="shared" si="3"/>
        <v>24472</v>
      </c>
      <c r="J21" s="35">
        <f t="shared" si="3"/>
        <v>25284</v>
      </c>
      <c r="K21" s="35">
        <f t="shared" si="3"/>
        <v>329711</v>
      </c>
    </row>
    <row r="22" spans="1:11" ht="12.75" customHeight="1">
      <c r="A22" s="399" t="s">
        <v>397</v>
      </c>
      <c r="B22" s="399" t="s">
        <v>398</v>
      </c>
      <c r="C22" s="399" t="s">
        <v>399</v>
      </c>
      <c r="D22" s="399" t="s">
        <v>400</v>
      </c>
      <c r="E22" s="399" t="s">
        <v>401</v>
      </c>
      <c r="F22" s="400" t="s">
        <v>430</v>
      </c>
      <c r="G22" s="399" t="s">
        <v>431</v>
      </c>
      <c r="H22" s="399"/>
      <c r="I22" s="399"/>
      <c r="J22" s="399"/>
      <c r="K22" s="399"/>
    </row>
    <row r="23" spans="1:11" ht="18.75" customHeight="1">
      <c r="A23" s="399"/>
      <c r="B23" s="399"/>
      <c r="C23" s="399"/>
      <c r="D23" s="399"/>
      <c r="E23" s="399"/>
      <c r="F23" s="400"/>
      <c r="G23" s="401" t="s">
        <v>330</v>
      </c>
      <c r="H23" s="401" t="s">
        <v>404</v>
      </c>
      <c r="I23" s="401" t="s">
        <v>405</v>
      </c>
      <c r="J23" s="401" t="s">
        <v>406</v>
      </c>
      <c r="K23" s="401" t="s">
        <v>407</v>
      </c>
    </row>
    <row r="24" spans="1:11" ht="12.75">
      <c r="A24" s="34" t="s">
        <v>408</v>
      </c>
      <c r="B24" s="38"/>
      <c r="C24" s="33"/>
      <c r="D24" s="33"/>
      <c r="E24" s="38"/>
      <c r="F24" s="38"/>
      <c r="G24" s="38"/>
      <c r="H24" s="38"/>
      <c r="I24" s="38"/>
      <c r="J24" s="38"/>
      <c r="K24" s="38"/>
    </row>
    <row r="25" spans="1:11" ht="12.75">
      <c r="A25" s="38" t="s">
        <v>409</v>
      </c>
      <c r="B25" s="38" t="s">
        <v>410</v>
      </c>
      <c r="C25" s="402">
        <v>37559</v>
      </c>
      <c r="D25" s="402">
        <v>44640</v>
      </c>
      <c r="E25" s="36">
        <v>18942</v>
      </c>
      <c r="F25" s="36"/>
      <c r="G25" s="36">
        <f>155+155+154+151</f>
        <v>615</v>
      </c>
      <c r="H25" s="36">
        <v>683</v>
      </c>
      <c r="I25" s="36">
        <v>625</v>
      </c>
      <c r="J25" s="36">
        <v>569</v>
      </c>
      <c r="K25" s="403">
        <v>4000</v>
      </c>
    </row>
    <row r="26" spans="1:11" ht="12.75">
      <c r="A26" s="38" t="s">
        <v>409</v>
      </c>
      <c r="B26" s="38" t="s">
        <v>411</v>
      </c>
      <c r="C26" s="402">
        <v>38777</v>
      </c>
      <c r="D26" s="402">
        <v>40148</v>
      </c>
      <c r="E26" s="36">
        <v>10500</v>
      </c>
      <c r="F26" s="36"/>
      <c r="G26" s="36">
        <v>3</v>
      </c>
      <c r="H26" s="36"/>
      <c r="I26" s="36"/>
      <c r="J26" s="403"/>
      <c r="K26" s="403"/>
    </row>
    <row r="27" spans="1:11" ht="12.75">
      <c r="A27" s="38" t="s">
        <v>409</v>
      </c>
      <c r="B27" s="38" t="s">
        <v>412</v>
      </c>
      <c r="C27" s="33" t="s">
        <v>413</v>
      </c>
      <c r="D27" s="33" t="s">
        <v>414</v>
      </c>
      <c r="E27" s="36">
        <v>14500</v>
      </c>
      <c r="F27" s="36"/>
      <c r="G27" s="36">
        <f>93+89+15+93+88+87+43+32+70+67+93-93+63</f>
        <v>740</v>
      </c>
      <c r="H27" s="36">
        <v>1003</v>
      </c>
      <c r="I27" s="36">
        <v>908</v>
      </c>
      <c r="J27" s="36">
        <v>816</v>
      </c>
      <c r="K27" s="403">
        <f>712+613+514+148+400</f>
        <v>2387</v>
      </c>
    </row>
    <row r="28" spans="1:11" ht="12.75">
      <c r="A28" s="38" t="s">
        <v>409</v>
      </c>
      <c r="B28" s="404" t="s">
        <v>415</v>
      </c>
      <c r="C28" s="33" t="s">
        <v>416</v>
      </c>
      <c r="D28" s="33" t="s">
        <v>417</v>
      </c>
      <c r="E28" s="36">
        <v>38358</v>
      </c>
      <c r="F28" s="36"/>
      <c r="G28" s="36">
        <v>1490</v>
      </c>
      <c r="H28" s="36">
        <f>136+118+125+124+127+122+132+115+118+125+112+118</f>
        <v>1472</v>
      </c>
      <c r="I28" s="36">
        <f>117+105+115+117+105+107+113+105+103+106+101</f>
        <v>1194</v>
      </c>
      <c r="J28" s="36">
        <f>110+95+94+105+88+96+98+87+92+90+86+85+86</f>
        <v>1212</v>
      </c>
      <c r="K28" s="36">
        <v>4000</v>
      </c>
    </row>
    <row r="29" spans="1:11" ht="12.75">
      <c r="A29" s="38" t="s">
        <v>409</v>
      </c>
      <c r="B29" s="404" t="s">
        <v>418</v>
      </c>
      <c r="C29" s="33" t="s">
        <v>420</v>
      </c>
      <c r="D29" s="402">
        <v>44895</v>
      </c>
      <c r="E29" s="36">
        <v>52269</v>
      </c>
      <c r="F29" s="36"/>
      <c r="G29" s="36">
        <v>4699</v>
      </c>
      <c r="H29" s="36">
        <v>4574</v>
      </c>
      <c r="I29" s="36">
        <v>4323</v>
      </c>
      <c r="J29" s="36">
        <v>3983</v>
      </c>
      <c r="K29" s="36">
        <f>3598+3217+2787+2200+4000</f>
        <v>15802</v>
      </c>
    </row>
    <row r="30" spans="1:11" ht="12.75">
      <c r="A30" s="38" t="s">
        <v>421</v>
      </c>
      <c r="B30" s="404" t="s">
        <v>422</v>
      </c>
      <c r="C30" s="33" t="s">
        <v>423</v>
      </c>
      <c r="D30" s="402">
        <v>46660</v>
      </c>
      <c r="E30" s="36">
        <v>300000</v>
      </c>
      <c r="F30" s="36"/>
      <c r="G30" s="36">
        <f>3818+1489+1234+1196</f>
        <v>7737</v>
      </c>
      <c r="H30" s="36"/>
      <c r="I30" s="36"/>
      <c r="J30" s="36"/>
      <c r="K30" s="36"/>
    </row>
    <row r="31" spans="1:11" ht="12.75">
      <c r="A31" s="405" t="s">
        <v>432</v>
      </c>
      <c r="B31" s="38"/>
      <c r="C31" s="33"/>
      <c r="D31" s="33"/>
      <c r="E31" s="35">
        <f>SUM(E25:E30)</f>
        <v>434569</v>
      </c>
      <c r="F31" s="35">
        <f aca="true" t="shared" si="4" ref="F31:K31">SUM(F25:F30)</f>
        <v>0</v>
      </c>
      <c r="G31" s="35">
        <f t="shared" si="4"/>
        <v>15284</v>
      </c>
      <c r="H31" s="35">
        <f t="shared" si="4"/>
        <v>7732</v>
      </c>
      <c r="I31" s="35">
        <f t="shared" si="4"/>
        <v>7050</v>
      </c>
      <c r="J31" s="35">
        <f t="shared" si="4"/>
        <v>6580</v>
      </c>
      <c r="K31" s="35">
        <f t="shared" si="4"/>
        <v>26189</v>
      </c>
    </row>
    <row r="32" spans="1:11" ht="12.75">
      <c r="A32" s="34" t="s">
        <v>425</v>
      </c>
      <c r="B32" s="38"/>
      <c r="C32" s="33"/>
      <c r="D32" s="33"/>
      <c r="E32" s="38"/>
      <c r="F32" s="36"/>
      <c r="G32" s="36"/>
      <c r="H32" s="36"/>
      <c r="I32" s="36"/>
      <c r="J32" s="36"/>
      <c r="K32" s="36"/>
    </row>
    <row r="33" spans="1:11" ht="12.75">
      <c r="A33" s="38" t="s">
        <v>409</v>
      </c>
      <c r="B33" s="38" t="s">
        <v>426</v>
      </c>
      <c r="C33" s="33"/>
      <c r="D33" s="33"/>
      <c r="E33" s="38"/>
      <c r="F33" s="36"/>
      <c r="G33" s="36"/>
      <c r="H33" s="36"/>
      <c r="I33" s="36"/>
      <c r="J33" s="36"/>
      <c r="K33" s="36"/>
    </row>
    <row r="34" spans="1:11" ht="12.75">
      <c r="A34" s="38" t="s">
        <v>409</v>
      </c>
      <c r="B34" s="38" t="s">
        <v>427</v>
      </c>
      <c r="C34" s="33"/>
      <c r="D34" s="33"/>
      <c r="E34" s="38"/>
      <c r="F34" s="36"/>
      <c r="G34" s="36">
        <v>6963</v>
      </c>
      <c r="H34" s="36"/>
      <c r="I34" s="36"/>
      <c r="J34" s="36"/>
      <c r="K34" s="36"/>
    </row>
    <row r="35" spans="1:11" ht="12.75">
      <c r="A35" s="38" t="s">
        <v>409</v>
      </c>
      <c r="B35" s="38"/>
      <c r="C35" s="402">
        <v>39438</v>
      </c>
      <c r="D35" s="402">
        <v>40147</v>
      </c>
      <c r="E35" s="36">
        <v>50000</v>
      </c>
      <c r="F35" s="36"/>
      <c r="G35" s="36"/>
      <c r="H35" s="36"/>
      <c r="I35" s="36"/>
      <c r="J35" s="36"/>
      <c r="K35" s="36"/>
    </row>
    <row r="36" spans="1:11" ht="12.75">
      <c r="A36" s="34" t="s">
        <v>428</v>
      </c>
      <c r="B36" s="38"/>
      <c r="C36" s="402"/>
      <c r="D36" s="402"/>
      <c r="E36" s="35">
        <f aca="true" t="shared" si="5" ref="E36:K36">SUM(E33:E35)</f>
        <v>50000</v>
      </c>
      <c r="F36" s="35">
        <f t="shared" si="5"/>
        <v>0</v>
      </c>
      <c r="G36" s="35">
        <f t="shared" si="5"/>
        <v>6963</v>
      </c>
      <c r="H36" s="35">
        <f t="shared" si="5"/>
        <v>0</v>
      </c>
      <c r="I36" s="35">
        <f t="shared" si="5"/>
        <v>0</v>
      </c>
      <c r="J36" s="35">
        <f t="shared" si="5"/>
        <v>0</v>
      </c>
      <c r="K36" s="35">
        <f t="shared" si="5"/>
        <v>0</v>
      </c>
    </row>
    <row r="37" spans="1:11" ht="12.75">
      <c r="A37" s="34" t="s">
        <v>429</v>
      </c>
      <c r="B37" s="38"/>
      <c r="C37" s="33"/>
      <c r="D37" s="33"/>
      <c r="E37" s="35">
        <f>SUM(E31,E36)</f>
        <v>484569</v>
      </c>
      <c r="F37" s="35">
        <f aca="true" t="shared" si="6" ref="F37:K37">SUM(F31,F36)</f>
        <v>0</v>
      </c>
      <c r="G37" s="35">
        <f t="shared" si="6"/>
        <v>22247</v>
      </c>
      <c r="H37" s="35">
        <f t="shared" si="6"/>
        <v>7732</v>
      </c>
      <c r="I37" s="35">
        <f t="shared" si="6"/>
        <v>7050</v>
      </c>
      <c r="J37" s="35">
        <f t="shared" si="6"/>
        <v>6580</v>
      </c>
      <c r="K37" s="35">
        <f t="shared" si="6"/>
        <v>26189</v>
      </c>
    </row>
    <row r="38" spans="1:11" ht="12.75">
      <c r="A38" s="407"/>
      <c r="B38" s="408"/>
      <c r="C38" s="409"/>
      <c r="D38" s="409"/>
      <c r="E38" s="410"/>
      <c r="F38" s="410"/>
      <c r="G38" s="410"/>
      <c r="H38" s="410"/>
      <c r="I38" s="410"/>
      <c r="J38" s="410"/>
      <c r="K38" s="410"/>
    </row>
    <row r="39" spans="1:11" ht="12.75" customHeight="1">
      <c r="A39" s="399" t="s">
        <v>433</v>
      </c>
      <c r="B39" s="399" t="s">
        <v>434</v>
      </c>
      <c r="C39" s="399" t="s">
        <v>435</v>
      </c>
      <c r="D39" s="399" t="s">
        <v>400</v>
      </c>
      <c r="E39" s="399"/>
      <c r="F39" s="400"/>
      <c r="G39" s="399" t="s">
        <v>436</v>
      </c>
      <c r="H39" s="399"/>
      <c r="I39" s="399"/>
      <c r="J39" s="399"/>
      <c r="K39" s="399"/>
    </row>
    <row r="40" spans="1:11" ht="12.75">
      <c r="A40" s="399"/>
      <c r="B40" s="399"/>
      <c r="C40" s="399"/>
      <c r="D40" s="399"/>
      <c r="E40" s="399"/>
      <c r="F40" s="400"/>
      <c r="G40" s="401" t="s">
        <v>330</v>
      </c>
      <c r="H40" s="401" t="s">
        <v>404</v>
      </c>
      <c r="I40" s="401" t="s">
        <v>405</v>
      </c>
      <c r="J40" s="401" t="s">
        <v>406</v>
      </c>
      <c r="K40" s="401" t="s">
        <v>407</v>
      </c>
    </row>
    <row r="41" spans="1:11" ht="12.75">
      <c r="A41" s="38" t="s">
        <v>437</v>
      </c>
      <c r="B41" s="411" t="s">
        <v>438</v>
      </c>
      <c r="C41" s="402">
        <v>39814</v>
      </c>
      <c r="D41" s="402">
        <v>41274</v>
      </c>
      <c r="E41" s="38"/>
      <c r="F41" s="38"/>
      <c r="G41" s="38"/>
      <c r="H41" s="38">
        <v>4500</v>
      </c>
      <c r="I41" s="38">
        <v>1500</v>
      </c>
      <c r="J41" s="38">
        <v>1500</v>
      </c>
      <c r="K41" s="38"/>
    </row>
    <row r="42" spans="1:11" ht="12.75">
      <c r="A42" s="411" t="s">
        <v>439</v>
      </c>
      <c r="B42" s="38" t="s">
        <v>440</v>
      </c>
      <c r="C42" s="402">
        <v>38671</v>
      </c>
      <c r="D42" s="402">
        <v>43054</v>
      </c>
      <c r="E42" s="36"/>
      <c r="F42" s="36"/>
      <c r="G42" s="36">
        <v>22600</v>
      </c>
      <c r="H42" s="36">
        <v>26000</v>
      </c>
      <c r="I42" s="36">
        <v>27000</v>
      </c>
      <c r="J42" s="36">
        <v>28100</v>
      </c>
      <c r="K42" s="403">
        <v>123000</v>
      </c>
    </row>
    <row r="43" spans="1:11" ht="12.75">
      <c r="A43" s="405" t="s">
        <v>432</v>
      </c>
      <c r="B43" s="38"/>
      <c r="C43" s="33"/>
      <c r="D43" s="33"/>
      <c r="E43" s="36"/>
      <c r="F43" s="36">
        <f>SUM(F42:F42)</f>
        <v>0</v>
      </c>
      <c r="G43" s="36">
        <f>SUM(G41:G42)</f>
        <v>22600</v>
      </c>
      <c r="H43" s="36">
        <f>SUM(H41:H42)</f>
        <v>30500</v>
      </c>
      <c r="I43" s="36">
        <f>SUM(I41:I42)</f>
        <v>28500</v>
      </c>
      <c r="J43" s="36">
        <f>SUM(J41:J42)</f>
        <v>29600</v>
      </c>
      <c r="K43" s="36">
        <f>SUM(K41:K42)</f>
        <v>123000</v>
      </c>
    </row>
    <row r="44" spans="1:11" ht="12.75" customHeight="1">
      <c r="A44" s="412" t="s">
        <v>441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</row>
    <row r="45" spans="1:11" ht="12.75">
      <c r="A45" s="412"/>
      <c r="B45" s="412"/>
      <c r="C45" s="412"/>
      <c r="D45" s="412"/>
      <c r="E45" s="412"/>
      <c r="F45" s="412"/>
      <c r="G45" s="412"/>
      <c r="H45" s="412"/>
      <c r="I45" s="412"/>
      <c r="J45" s="412"/>
      <c r="K45" s="412"/>
    </row>
    <row r="47" spans="1:3" ht="12.75">
      <c r="A47" s="21" t="s">
        <v>442</v>
      </c>
      <c r="C47" s="396" t="s">
        <v>32</v>
      </c>
    </row>
    <row r="48" spans="1:3" ht="12.75">
      <c r="A48" s="21" t="s">
        <v>443</v>
      </c>
      <c r="C48" s="396" t="s">
        <v>444</v>
      </c>
    </row>
    <row r="49" spans="1:3" ht="12.75">
      <c r="A49" s="21" t="s">
        <v>445</v>
      </c>
      <c r="C49" s="396" t="s">
        <v>446</v>
      </c>
    </row>
    <row r="50" spans="1:3" ht="12.75">
      <c r="A50" s="21" t="s">
        <v>447</v>
      </c>
      <c r="C50" s="396" t="s">
        <v>448</v>
      </c>
    </row>
    <row r="51" ht="12.75">
      <c r="C51" s="396" t="s">
        <v>449</v>
      </c>
    </row>
    <row r="52" spans="1:3" ht="12.75">
      <c r="A52" s="21" t="s">
        <v>450</v>
      </c>
      <c r="C52" s="396" t="s">
        <v>451</v>
      </c>
    </row>
    <row r="53" spans="1:3" ht="12.75">
      <c r="A53" s="21" t="s">
        <v>452</v>
      </c>
      <c r="C53" s="396" t="s">
        <v>453</v>
      </c>
    </row>
    <row r="54" spans="1:3" ht="12.75">
      <c r="A54" s="21" t="s">
        <v>454</v>
      </c>
      <c r="C54" s="396" t="s">
        <v>455</v>
      </c>
    </row>
    <row r="55" spans="1:3" ht="12.75">
      <c r="A55" s="21" t="s">
        <v>456</v>
      </c>
      <c r="C55" s="396" t="s">
        <v>457</v>
      </c>
    </row>
    <row r="56" spans="1:3" ht="12.75">
      <c r="A56" s="21" t="s">
        <v>458</v>
      </c>
      <c r="C56" s="396" t="s">
        <v>459</v>
      </c>
    </row>
    <row r="57" spans="1:7" ht="12.75" customHeight="1">
      <c r="A57" s="413" t="s">
        <v>460</v>
      </c>
      <c r="B57" s="396"/>
      <c r="C57" s="414"/>
      <c r="D57" s="414"/>
      <c r="E57" s="414"/>
      <c r="F57" s="414"/>
      <c r="G57" s="414"/>
    </row>
    <row r="58" spans="1:7" ht="12.75" customHeight="1">
      <c r="A58" s="413" t="s">
        <v>461</v>
      </c>
      <c r="B58" s="396"/>
      <c r="C58" s="414"/>
      <c r="D58" s="414"/>
      <c r="E58" s="414"/>
      <c r="F58" s="414"/>
      <c r="G58" s="414"/>
    </row>
    <row r="60" ht="12.75">
      <c r="A60" s="413" t="s">
        <v>462</v>
      </c>
    </row>
    <row r="61" ht="12.75">
      <c r="A61" s="413" t="s">
        <v>463</v>
      </c>
    </row>
    <row r="62" spans="1:5" ht="12.75">
      <c r="A62" s="22" t="s">
        <v>464</v>
      </c>
      <c r="B62" s="22"/>
      <c r="C62" s="415"/>
      <c r="D62" s="415"/>
      <c r="E62" s="22"/>
    </row>
    <row r="63" spans="1:5" ht="12.75">
      <c r="A63" s="22" t="s">
        <v>465</v>
      </c>
      <c r="B63" s="22"/>
      <c r="C63" s="415"/>
      <c r="D63" s="415"/>
      <c r="E63" s="22"/>
    </row>
    <row r="64" spans="1:5" ht="12.75">
      <c r="A64" s="22"/>
      <c r="B64" s="22"/>
      <c r="C64" s="415"/>
      <c r="D64" s="415"/>
      <c r="E64" s="22"/>
    </row>
    <row r="65" spans="1:5" ht="12.75">
      <c r="A65" s="22" t="s">
        <v>466</v>
      </c>
      <c r="B65" s="22"/>
      <c r="C65" s="415"/>
      <c r="D65" s="416">
        <v>55312000</v>
      </c>
      <c r="E65" s="416"/>
    </row>
    <row r="66" spans="1:5" ht="12.75">
      <c r="A66" s="21" t="s">
        <v>467</v>
      </c>
      <c r="D66" s="416">
        <f>300000000-D65</f>
        <v>244688000</v>
      </c>
      <c r="E66" s="416"/>
    </row>
  </sheetData>
  <sheetProtection selectLockedCells="1" selectUnlockedCells="1"/>
  <mergeCells count="27">
    <mergeCell ref="A1:K2"/>
    <mergeCell ref="A3:K3"/>
    <mergeCell ref="H4:I4"/>
    <mergeCell ref="A5:A6"/>
    <mergeCell ref="B5:B6"/>
    <mergeCell ref="C5:C6"/>
    <mergeCell ref="D5:D6"/>
    <mergeCell ref="E5:E6"/>
    <mergeCell ref="F5:F6"/>
    <mergeCell ref="G5:K5"/>
    <mergeCell ref="A22:A23"/>
    <mergeCell ref="B22:B23"/>
    <mergeCell ref="C22:C23"/>
    <mergeCell ref="D22:D23"/>
    <mergeCell ref="E22:E23"/>
    <mergeCell ref="F22:F23"/>
    <mergeCell ref="G22:K22"/>
    <mergeCell ref="A39:A40"/>
    <mergeCell ref="B39:B40"/>
    <mergeCell ref="C39:C40"/>
    <mergeCell ref="D39:D40"/>
    <mergeCell ref="E39:E40"/>
    <mergeCell ref="F39:F40"/>
    <mergeCell ref="G39:K39"/>
    <mergeCell ref="A44:K45"/>
    <mergeCell ref="D65:E65"/>
    <mergeCell ref="D66:E66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93"/>
  <headerFooter alignWithMargins="0">
    <oddHeader>&amp;L&amp;"Arial,Dőlt"Vámospércs Városi Önkormányzat&amp;R&amp;"Arial,Dőlt"10. számú melléklet</oddHeader>
  </headerFooter>
  <rowBreaks count="1" manualBreakCount="1">
    <brk id="3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E9" sqref="E9"/>
    </sheetView>
  </sheetViews>
  <sheetFormatPr defaultColWidth="9.140625" defaultRowHeight="12.75"/>
  <cols>
    <col min="1" max="1" width="23.7109375" style="0" customWidth="1"/>
    <col min="3" max="3" width="17.28125" style="0" customWidth="1"/>
    <col min="4" max="5" width="11.28125" style="0" customWidth="1"/>
    <col min="6" max="6" width="19.57421875" style="0" customWidth="1"/>
    <col min="7" max="7" width="10.57421875" style="0" customWidth="1"/>
    <col min="8" max="8" width="11.8515625" style="0" customWidth="1"/>
    <col min="9" max="9" width="12.00390625" style="0" customWidth="1"/>
  </cols>
  <sheetData>
    <row r="2" spans="1:9" ht="12.75">
      <c r="A2" s="417" t="s">
        <v>22</v>
      </c>
      <c r="B2" s="417"/>
      <c r="C2" s="417"/>
      <c r="D2" s="417"/>
      <c r="E2" s="417"/>
      <c r="F2" s="417"/>
      <c r="G2" s="417"/>
      <c r="H2" s="417"/>
      <c r="I2" s="417"/>
    </row>
    <row r="3" spans="1:9" ht="12.75">
      <c r="A3" s="418"/>
      <c r="B3" s="418"/>
      <c r="C3" s="418"/>
      <c r="D3" s="418"/>
      <c r="E3" s="418"/>
      <c r="F3" s="418"/>
      <c r="G3" s="418"/>
      <c r="H3" s="418"/>
      <c r="I3" s="419"/>
    </row>
    <row r="4" spans="1:9" ht="12.75">
      <c r="A4" s="419"/>
      <c r="B4" s="419"/>
      <c r="C4" s="419"/>
      <c r="D4" s="419"/>
      <c r="E4" s="419"/>
      <c r="F4" s="419"/>
      <c r="G4" s="419"/>
      <c r="H4" s="419"/>
      <c r="I4" s="419"/>
    </row>
    <row r="5" spans="1:9" ht="12.75" customHeight="1">
      <c r="A5" s="420" t="s">
        <v>468</v>
      </c>
      <c r="B5" s="421" t="s">
        <v>469</v>
      </c>
      <c r="C5" s="422" t="s">
        <v>470</v>
      </c>
      <c r="D5" s="422"/>
      <c r="E5" s="422"/>
      <c r="F5" s="422" t="s">
        <v>471</v>
      </c>
      <c r="G5" s="422"/>
      <c r="H5" s="422"/>
      <c r="I5" s="423" t="s">
        <v>472</v>
      </c>
    </row>
    <row r="6" spans="1:9" ht="12.75">
      <c r="A6" s="420"/>
      <c r="B6" s="421"/>
      <c r="C6" s="424" t="s">
        <v>473</v>
      </c>
      <c r="D6" s="424" t="s">
        <v>474</v>
      </c>
      <c r="E6" s="424" t="s">
        <v>475</v>
      </c>
      <c r="F6" s="424" t="s">
        <v>473</v>
      </c>
      <c r="G6" s="424" t="s">
        <v>474</v>
      </c>
      <c r="H6" s="424" t="s">
        <v>475</v>
      </c>
      <c r="I6" s="423"/>
    </row>
    <row r="7" spans="1:9" ht="12.75">
      <c r="A7" s="425" t="s">
        <v>476</v>
      </c>
      <c r="B7" s="426">
        <v>394</v>
      </c>
      <c r="C7" s="427" t="s">
        <v>477</v>
      </c>
      <c r="D7" s="428">
        <v>100</v>
      </c>
      <c r="E7" s="429">
        <v>2735</v>
      </c>
      <c r="F7" s="430"/>
      <c r="G7" s="430"/>
      <c r="H7" s="431"/>
      <c r="I7" s="432">
        <f>E7+H7</f>
        <v>2735</v>
      </c>
    </row>
    <row r="8" spans="1:9" ht="12.75">
      <c r="A8" s="433" t="s">
        <v>478</v>
      </c>
      <c r="B8" s="434">
        <v>453</v>
      </c>
      <c r="C8" s="435" t="s">
        <v>479</v>
      </c>
      <c r="D8" s="435">
        <v>100</v>
      </c>
      <c r="E8" s="436">
        <v>6064</v>
      </c>
      <c r="F8" s="435"/>
      <c r="G8" s="435"/>
      <c r="H8" s="437"/>
      <c r="I8" s="432">
        <f>E8+H8</f>
        <v>6064</v>
      </c>
    </row>
    <row r="9" spans="1:9" ht="12.75">
      <c r="A9" s="433" t="s">
        <v>480</v>
      </c>
      <c r="B9" s="438">
        <v>88</v>
      </c>
      <c r="C9" s="435" t="s">
        <v>479</v>
      </c>
      <c r="D9" s="435"/>
      <c r="E9" s="436"/>
      <c r="F9" s="435" t="s">
        <v>479</v>
      </c>
      <c r="G9" s="435">
        <v>50</v>
      </c>
      <c r="H9" s="437">
        <v>697</v>
      </c>
      <c r="I9" s="439">
        <f>E9+H9</f>
        <v>697</v>
      </c>
    </row>
    <row r="10" spans="1:9" ht="12.75">
      <c r="A10" s="440" t="s">
        <v>481</v>
      </c>
      <c r="B10" s="441"/>
      <c r="C10" s="442"/>
      <c r="D10" s="442" t="s">
        <v>482</v>
      </c>
      <c r="E10" s="443">
        <f>SUM(E7:E9)</f>
        <v>8799</v>
      </c>
      <c r="F10" s="444"/>
      <c r="G10" s="444"/>
      <c r="H10" s="443">
        <f>SUM(H7:H9)</f>
        <v>697</v>
      </c>
      <c r="I10" s="445">
        <f>E10+H10</f>
        <v>9496</v>
      </c>
    </row>
  </sheetData>
  <sheetProtection selectLockedCells="1" selectUnlockedCells="1"/>
  <mergeCells count="6">
    <mergeCell ref="A2:I2"/>
    <mergeCell ref="A5:A6"/>
    <mergeCell ref="B5:B6"/>
    <mergeCell ref="C5:E5"/>
    <mergeCell ref="F5:H5"/>
    <mergeCell ref="I5:I6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&amp;L&amp;"Arial,Dőlt"Vámospércs Városi Önkormányzat&amp;R&amp;"Arial,Dőlt"11.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C18"/>
  <sheetViews>
    <sheetView workbookViewId="0" topLeftCell="B1">
      <selection activeCell="B9" sqref="B9"/>
    </sheetView>
  </sheetViews>
  <sheetFormatPr defaultColWidth="8.00390625" defaultRowHeight="12.75"/>
  <cols>
    <col min="1" max="1" width="5.00390625" style="307" customWidth="1"/>
    <col min="2" max="2" width="57.140625" style="305" customWidth="1"/>
    <col min="3" max="3" width="16.7109375" style="306" customWidth="1"/>
    <col min="4" max="16384" width="8.00390625" style="304" customWidth="1"/>
  </cols>
  <sheetData>
    <row r="1" ht="42.75" customHeight="1"/>
    <row r="2" spans="1:3" s="447" customFormat="1" ht="42.75" customHeight="1">
      <c r="A2" s="446" t="s">
        <v>483</v>
      </c>
      <c r="B2" s="446"/>
      <c r="C2" s="446"/>
    </row>
    <row r="3" spans="1:3" s="447" customFormat="1" ht="42.75" customHeight="1">
      <c r="A3" s="448"/>
      <c r="B3" s="448"/>
      <c r="C3" s="448"/>
    </row>
    <row r="4" spans="1:3" ht="39" customHeight="1">
      <c r="A4" s="449"/>
      <c r="B4" s="450" t="s">
        <v>31</v>
      </c>
      <c r="C4" s="451" t="s">
        <v>169</v>
      </c>
    </row>
    <row r="5" spans="1:3" s="454" customFormat="1" ht="51" customHeight="1">
      <c r="A5" s="325" t="s">
        <v>1</v>
      </c>
      <c r="B5" s="452" t="s">
        <v>484</v>
      </c>
      <c r="C5" s="453">
        <v>575</v>
      </c>
    </row>
    <row r="6" spans="1:3" s="454" customFormat="1" ht="51" customHeight="1">
      <c r="A6" s="325" t="s">
        <v>3</v>
      </c>
      <c r="B6" s="455" t="s">
        <v>485</v>
      </c>
      <c r="C6" s="456">
        <v>153046</v>
      </c>
    </row>
    <row r="7" spans="1:3" s="460" customFormat="1" ht="46.5" customHeight="1">
      <c r="A7" s="457"/>
      <c r="B7" s="458" t="s">
        <v>316</v>
      </c>
      <c r="C7" s="459">
        <f>SUM(C5:C6)</f>
        <v>153621</v>
      </c>
    </row>
    <row r="8" spans="1:3" s="464" customFormat="1" ht="19.5" customHeight="1">
      <c r="A8" s="461"/>
      <c r="B8" s="462"/>
      <c r="C8" s="463"/>
    </row>
    <row r="9" spans="1:3" s="465" customFormat="1" ht="19.5" customHeight="1">
      <c r="A9" s="461"/>
      <c r="B9" s="462"/>
      <c r="C9" s="463"/>
    </row>
    <row r="10" spans="1:3" s="465" customFormat="1" ht="19.5" customHeight="1">
      <c r="A10" s="461"/>
      <c r="B10" s="462"/>
      <c r="C10" s="463"/>
    </row>
    <row r="11" spans="1:3" s="340" customFormat="1" ht="19.5" customHeight="1">
      <c r="A11" s="307"/>
      <c r="B11" s="305"/>
      <c r="C11" s="306"/>
    </row>
    <row r="12" spans="1:3" s="352" customFormat="1" ht="34.5" customHeight="1">
      <c r="A12" s="307"/>
      <c r="B12" s="305"/>
      <c r="C12" s="306"/>
    </row>
    <row r="13" spans="1:3" s="345" customFormat="1" ht="33.75" customHeight="1">
      <c r="A13" s="307"/>
      <c r="B13" s="305"/>
      <c r="C13" s="306"/>
    </row>
    <row r="14" spans="1:3" s="346" customFormat="1" ht="23.25" customHeight="1">
      <c r="A14" s="307"/>
      <c r="B14" s="305"/>
      <c r="C14" s="306"/>
    </row>
    <row r="15" spans="1:3" s="346" customFormat="1" ht="23.25" customHeight="1">
      <c r="A15" s="307"/>
      <c r="B15" s="305"/>
      <c r="C15" s="306"/>
    </row>
    <row r="16" spans="1:3" s="340" customFormat="1" ht="23.25" customHeight="1">
      <c r="A16" s="307"/>
      <c r="B16" s="305"/>
      <c r="C16" s="306"/>
    </row>
    <row r="17" spans="1:3" s="340" customFormat="1" ht="23.25" customHeight="1">
      <c r="A17" s="307"/>
      <c r="B17" s="305"/>
      <c r="C17" s="306"/>
    </row>
    <row r="18" spans="1:3" s="352" customFormat="1" ht="36.75" customHeight="1">
      <c r="A18" s="307"/>
      <c r="B18" s="305"/>
      <c r="C18" s="306"/>
    </row>
  </sheetData>
  <sheetProtection selectLockedCells="1" selectUnlockedCells="1"/>
  <mergeCells count="1">
    <mergeCell ref="A2:C2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&amp;L&amp;12Vámospércs  Városi Önkormányzata&amp;R&amp;"Arial,Félkövér dőlt"&amp;11 &amp;"Arial,Dőlt"&amp;12 12.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25" sqref="F25"/>
    </sheetView>
  </sheetViews>
  <sheetFormatPr defaultColWidth="9.140625" defaultRowHeight="12.75"/>
  <cols>
    <col min="1" max="1" width="44.57421875" style="419" customWidth="1"/>
    <col min="2" max="7" width="13.28125" style="466" customWidth="1"/>
  </cols>
  <sheetData>
    <row r="1" spans="1:7" ht="12.75" customHeight="1">
      <c r="A1" s="467" t="s">
        <v>26</v>
      </c>
      <c r="B1" s="467"/>
      <c r="C1" s="467"/>
      <c r="D1" s="467"/>
      <c r="E1" s="467"/>
      <c r="F1" s="467"/>
      <c r="G1" s="467"/>
    </row>
    <row r="2" spans="1:7" ht="12.75">
      <c r="A2" s="467"/>
      <c r="B2" s="467"/>
      <c r="C2" s="467"/>
      <c r="D2" s="467"/>
      <c r="E2" s="467"/>
      <c r="F2" s="467"/>
      <c r="G2" s="467"/>
    </row>
    <row r="3" spans="1:7" ht="12.75">
      <c r="A3"/>
      <c r="B3"/>
      <c r="C3"/>
      <c r="D3"/>
      <c r="E3"/>
      <c r="F3"/>
      <c r="G3"/>
    </row>
    <row r="4" spans="6:7" ht="12.75">
      <c r="F4" s="468" t="s">
        <v>486</v>
      </c>
      <c r="G4" s="468"/>
    </row>
    <row r="5" spans="1:7" ht="12.75" customHeight="1">
      <c r="A5" s="469" t="s">
        <v>487</v>
      </c>
      <c r="B5" s="470" t="s">
        <v>488</v>
      </c>
      <c r="C5" s="471" t="s">
        <v>489</v>
      </c>
      <c r="D5" s="471"/>
      <c r="E5" s="470" t="s">
        <v>490</v>
      </c>
      <c r="F5" s="471" t="s">
        <v>491</v>
      </c>
      <c r="G5" s="471"/>
    </row>
    <row r="6" spans="1:7" ht="12.75" customHeight="1">
      <c r="A6" s="469"/>
      <c r="B6" s="470"/>
      <c r="C6" s="470" t="s">
        <v>492</v>
      </c>
      <c r="D6" s="470" t="s">
        <v>493</v>
      </c>
      <c r="E6" s="470"/>
      <c r="F6" s="470" t="s">
        <v>492</v>
      </c>
      <c r="G6" s="470" t="s">
        <v>493</v>
      </c>
    </row>
    <row r="7" spans="1:7" ht="12.75">
      <c r="A7" s="469"/>
      <c r="B7" s="470"/>
      <c r="C7" s="470"/>
      <c r="D7" s="470"/>
      <c r="E7" s="470"/>
      <c r="F7" s="470"/>
      <c r="G7" s="470"/>
    </row>
    <row r="8" spans="1:7" ht="12.75">
      <c r="A8" s="472"/>
      <c r="B8" s="473"/>
      <c r="C8" s="473"/>
      <c r="D8" s="473"/>
      <c r="E8" s="473"/>
      <c r="F8" s="473"/>
      <c r="G8" s="473"/>
    </row>
    <row r="9" spans="1:7" ht="12.75">
      <c r="A9" s="472"/>
      <c r="B9" s="473"/>
      <c r="C9" s="473"/>
      <c r="D9" s="473"/>
      <c r="E9" s="473"/>
      <c r="F9" s="473"/>
      <c r="G9" s="473"/>
    </row>
    <row r="10" spans="1:7" ht="12.75">
      <c r="A10" s="472" t="s">
        <v>494</v>
      </c>
      <c r="B10" s="473">
        <f>SUM(C10:D10)</f>
        <v>688</v>
      </c>
      <c r="C10" s="473">
        <v>661</v>
      </c>
      <c r="D10" s="473">
        <v>27</v>
      </c>
      <c r="E10" s="473">
        <f>SUM(F10:G10)</f>
        <v>284340</v>
      </c>
      <c r="F10" s="473">
        <f>284340-129</f>
        <v>284211</v>
      </c>
      <c r="G10" s="473">
        <v>129</v>
      </c>
    </row>
    <row r="11" spans="1:7" ht="12.75">
      <c r="A11" s="472" t="s">
        <v>495</v>
      </c>
      <c r="B11" s="473">
        <f aca="true" t="shared" si="0" ref="B11:B29">SUM(C11:D11)</f>
        <v>286625</v>
      </c>
      <c r="C11" s="473">
        <v>286142</v>
      </c>
      <c r="D11" s="473">
        <v>483</v>
      </c>
      <c r="E11" s="473">
        <f aca="true" t="shared" si="1" ref="E11:E27">SUM(F11:G11)</f>
        <v>155</v>
      </c>
      <c r="F11" s="473">
        <v>118</v>
      </c>
      <c r="G11" s="473">
        <v>37</v>
      </c>
    </row>
    <row r="12" spans="1:7" ht="12.75">
      <c r="A12" s="472" t="s">
        <v>496</v>
      </c>
      <c r="B12" s="473">
        <f t="shared" si="0"/>
        <v>287313</v>
      </c>
      <c r="C12" s="473">
        <f>SUM(C10:C11)</f>
        <v>286803</v>
      </c>
      <c r="D12" s="473">
        <f>SUM(D10:D11)</f>
        <v>510</v>
      </c>
      <c r="E12" s="473">
        <f t="shared" si="1"/>
        <v>284495</v>
      </c>
      <c r="F12" s="473">
        <f>SUM(F10:F11)</f>
        <v>284329</v>
      </c>
      <c r="G12" s="473">
        <f>SUM(G10:G11)</f>
        <v>166</v>
      </c>
    </row>
    <row r="13" spans="1:7" ht="12.75">
      <c r="A13" s="472" t="s">
        <v>497</v>
      </c>
      <c r="B13" s="473"/>
      <c r="C13" s="473"/>
      <c r="D13" s="473"/>
      <c r="E13" s="473"/>
      <c r="F13" s="473">
        <v>-39582</v>
      </c>
      <c r="G13" s="473"/>
    </row>
    <row r="14" spans="1:7" ht="12.75">
      <c r="A14" s="472" t="s">
        <v>498</v>
      </c>
      <c r="B14" s="473"/>
      <c r="C14" s="473"/>
      <c r="D14" s="473"/>
      <c r="E14" s="473">
        <f t="shared" si="1"/>
        <v>-8824</v>
      </c>
      <c r="F14" s="473">
        <v>-8824</v>
      </c>
      <c r="G14" s="473"/>
    </row>
    <row r="15" spans="1:7" ht="12.75">
      <c r="A15" s="472" t="s">
        <v>499</v>
      </c>
      <c r="B15" s="473">
        <f t="shared" si="0"/>
        <v>0</v>
      </c>
      <c r="C15" s="473"/>
      <c r="D15" s="473"/>
      <c r="E15" s="473">
        <f t="shared" si="1"/>
        <v>0</v>
      </c>
      <c r="F15" s="473"/>
      <c r="G15" s="473"/>
    </row>
    <row r="16" spans="1:7" ht="12.75">
      <c r="A16" s="472" t="s">
        <v>500</v>
      </c>
      <c r="B16" s="473">
        <f t="shared" si="0"/>
        <v>-39549</v>
      </c>
      <c r="C16" s="473">
        <v>-39549</v>
      </c>
      <c r="D16" s="473">
        <v>0</v>
      </c>
      <c r="E16" s="473">
        <f t="shared" si="1"/>
        <v>-36326</v>
      </c>
      <c r="F16" s="473">
        <v>-36326</v>
      </c>
      <c r="G16" s="473"/>
    </row>
    <row r="17" spans="1:7" ht="12.75">
      <c r="A17" s="472" t="s">
        <v>501</v>
      </c>
      <c r="B17" s="473">
        <f t="shared" si="0"/>
        <v>0</v>
      </c>
      <c r="C17" s="473">
        <v>0</v>
      </c>
      <c r="D17" s="473"/>
      <c r="E17" s="473">
        <f t="shared" si="1"/>
        <v>344</v>
      </c>
      <c r="F17" s="473">
        <v>344</v>
      </c>
      <c r="G17" s="473"/>
    </row>
    <row r="18" spans="1:7" ht="12.75">
      <c r="A18" s="472" t="s">
        <v>502</v>
      </c>
      <c r="B18" s="473">
        <f t="shared" si="0"/>
        <v>0</v>
      </c>
      <c r="C18" s="473"/>
      <c r="D18" s="473"/>
      <c r="E18" s="473">
        <f t="shared" si="1"/>
        <v>0</v>
      </c>
      <c r="F18" s="473"/>
      <c r="G18" s="473"/>
    </row>
    <row r="19" spans="1:7" ht="12.75">
      <c r="A19" s="472" t="s">
        <v>503</v>
      </c>
      <c r="B19" s="473">
        <f t="shared" si="0"/>
        <v>41758</v>
      </c>
      <c r="C19" s="473">
        <v>41727</v>
      </c>
      <c r="D19" s="473">
        <v>31</v>
      </c>
      <c r="E19" s="473">
        <f t="shared" si="1"/>
        <v>5670</v>
      </c>
      <c r="F19" s="473">
        <v>5802</v>
      </c>
      <c r="G19" s="473">
        <v>-132</v>
      </c>
    </row>
    <row r="20" spans="1:7" ht="12.75">
      <c r="A20" s="472" t="s">
        <v>504</v>
      </c>
      <c r="B20" s="473">
        <f t="shared" si="0"/>
        <v>-4751</v>
      </c>
      <c r="C20" s="473">
        <v>-4649</v>
      </c>
      <c r="D20" s="473">
        <v>-102</v>
      </c>
      <c r="E20" s="473">
        <f t="shared" si="1"/>
        <v>-4174</v>
      </c>
      <c r="F20" s="473">
        <v>-4026</v>
      </c>
      <c r="G20" s="473">
        <v>-148</v>
      </c>
    </row>
    <row r="21" spans="1:7" ht="12.75">
      <c r="A21" s="472" t="s">
        <v>505</v>
      </c>
      <c r="B21" s="473">
        <f t="shared" si="0"/>
        <v>-2542</v>
      </c>
      <c r="C21" s="473">
        <f>SUM(C15:C20)</f>
        <v>-2471</v>
      </c>
      <c r="D21" s="473">
        <f>SUM(D15:D20)</f>
        <v>-71</v>
      </c>
      <c r="E21" s="473">
        <f t="shared" si="1"/>
        <v>-34486</v>
      </c>
      <c r="F21" s="473">
        <f>SUM(F15:F20)</f>
        <v>-34206</v>
      </c>
      <c r="G21" s="473">
        <f>SUM(G15:G20)</f>
        <v>-280</v>
      </c>
    </row>
    <row r="22" spans="1:7" ht="12.75">
      <c r="A22" s="472" t="s">
        <v>506</v>
      </c>
      <c r="B22" s="473">
        <f t="shared" si="0"/>
        <v>-144</v>
      </c>
      <c r="C22" s="473">
        <v>-58</v>
      </c>
      <c r="D22" s="473">
        <v>-86</v>
      </c>
      <c r="E22" s="473">
        <f t="shared" si="1"/>
        <v>-203075</v>
      </c>
      <c r="F22" s="473">
        <f>-242657-F13</f>
        <v>-203075</v>
      </c>
      <c r="G22" s="473"/>
    </row>
    <row r="23" spans="1:7" ht="12.75">
      <c r="A23" s="472" t="s">
        <v>507</v>
      </c>
      <c r="B23" s="473">
        <f t="shared" si="0"/>
        <v>0</v>
      </c>
      <c r="C23" s="473"/>
      <c r="D23" s="473"/>
      <c r="E23" s="473">
        <f t="shared" si="1"/>
        <v>0</v>
      </c>
      <c r="F23" s="473"/>
      <c r="G23" s="473"/>
    </row>
    <row r="24" spans="1:7" ht="12.75">
      <c r="A24" s="472" t="s">
        <v>508</v>
      </c>
      <c r="B24" s="473">
        <f t="shared" si="0"/>
        <v>284627</v>
      </c>
      <c r="C24" s="473">
        <f>SUM(C12,C21,C22,C23)</f>
        <v>284274</v>
      </c>
      <c r="D24" s="473">
        <f>SUM(D12,D21,D22,D23)</f>
        <v>353</v>
      </c>
      <c r="E24" s="473">
        <f t="shared" si="1"/>
        <v>-1472</v>
      </c>
      <c r="F24" s="473">
        <f>SUM(F12,F14,F21,F22,F23)-39582</f>
        <v>-1358</v>
      </c>
      <c r="G24" s="473">
        <f>SUM(G12,G14,G21,G22,G23)</f>
        <v>-114</v>
      </c>
    </row>
    <row r="25" spans="1:7" ht="12.75">
      <c r="A25" s="472" t="s">
        <v>509</v>
      </c>
      <c r="B25" s="473">
        <f t="shared" si="0"/>
        <v>-28152</v>
      </c>
      <c r="C25" s="473">
        <f>-114-13747-8635-4670-12-974</f>
        <v>-28152</v>
      </c>
      <c r="D25" s="473"/>
      <c r="E25" s="473">
        <f t="shared" si="1"/>
        <v>-6828</v>
      </c>
      <c r="F25" s="473">
        <v>-6828</v>
      </c>
      <c r="G25" s="473"/>
    </row>
    <row r="26" spans="1:7" ht="12.75">
      <c r="A26" s="472" t="s">
        <v>510</v>
      </c>
      <c r="B26" s="473">
        <f t="shared" si="0"/>
        <v>14326</v>
      </c>
      <c r="C26" s="473">
        <v>14326</v>
      </c>
      <c r="D26" s="473"/>
      <c r="E26" s="473">
        <f t="shared" si="1"/>
        <v>0</v>
      </c>
      <c r="F26" s="473"/>
      <c r="G26" s="473"/>
    </row>
    <row r="27" spans="1:7" ht="12.75">
      <c r="A27" s="472" t="s">
        <v>511</v>
      </c>
      <c r="B27" s="473">
        <f t="shared" si="0"/>
        <v>270801</v>
      </c>
      <c r="C27" s="473">
        <f>SUM(C24:C26)</f>
        <v>270448</v>
      </c>
      <c r="D27" s="473">
        <f>SUM(D24:D26)</f>
        <v>353</v>
      </c>
      <c r="E27" s="473">
        <f t="shared" si="1"/>
        <v>-8300</v>
      </c>
      <c r="F27" s="473">
        <f>SUM(F24:F26)</f>
        <v>-8186</v>
      </c>
      <c r="G27" s="473">
        <f>SUM(G24:G26)</f>
        <v>-114</v>
      </c>
    </row>
    <row r="28" spans="1:7" ht="12.75">
      <c r="A28" s="472" t="s">
        <v>512</v>
      </c>
      <c r="B28" s="473">
        <f t="shared" si="0"/>
        <v>270801</v>
      </c>
      <c r="C28" s="473">
        <v>270448</v>
      </c>
      <c r="D28" s="473">
        <v>353</v>
      </c>
      <c r="E28" s="473">
        <v>-8300</v>
      </c>
      <c r="F28" s="473">
        <v>-8186</v>
      </c>
      <c r="G28" s="473">
        <v>-114</v>
      </c>
    </row>
    <row r="29" spans="1:7" ht="12.75">
      <c r="A29" s="472" t="s">
        <v>513</v>
      </c>
      <c r="B29" s="473">
        <f t="shared" si="0"/>
        <v>270801</v>
      </c>
      <c r="C29" s="473">
        <v>270448</v>
      </c>
      <c r="D29" s="473">
        <v>353</v>
      </c>
      <c r="E29" s="473">
        <v>-8300</v>
      </c>
      <c r="F29" s="473">
        <v>-8186</v>
      </c>
      <c r="G29" s="473">
        <v>-114</v>
      </c>
    </row>
    <row r="33" ht="12.75">
      <c r="F33" s="466" t="s">
        <v>514</v>
      </c>
    </row>
  </sheetData>
  <sheetProtection selectLockedCells="1" selectUnlockedCells="1"/>
  <mergeCells count="11">
    <mergeCell ref="A1:G2"/>
    <mergeCell ref="F4:G4"/>
    <mergeCell ref="A5:A7"/>
    <mergeCell ref="B5:B7"/>
    <mergeCell ref="C5:D5"/>
    <mergeCell ref="E5:E7"/>
    <mergeCell ref="F5:G5"/>
    <mergeCell ref="C6:C7"/>
    <mergeCell ref="D6:D7"/>
    <mergeCell ref="F6:F7"/>
    <mergeCell ref="G6:G7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98"/>
  <headerFooter alignWithMargins="0">
    <oddHeader>&amp;L&amp;12Vámospércs Városi Önkormányzat&amp;R&amp;"Arial,Dőlt"13.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AK139"/>
  <sheetViews>
    <sheetView workbookViewId="0" topLeftCell="F1">
      <selection activeCell="AF5" sqref="AF5"/>
    </sheetView>
  </sheetViews>
  <sheetFormatPr defaultColWidth="9.140625" defaultRowHeight="12.75"/>
  <cols>
    <col min="1" max="27" width="4.28125" style="21" customWidth="1"/>
    <col min="28" max="37" width="4.28125" style="474" customWidth="1"/>
  </cols>
  <sheetData>
    <row r="2" spans="2:37" ht="12.75" customHeight="1"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</row>
    <row r="3" spans="15:25" ht="12.75"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6"/>
    </row>
    <row r="4" spans="1:37" ht="12.75">
      <c r="A4" s="477" t="s">
        <v>515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</row>
    <row r="5" spans="18:37" ht="12.75">
      <c r="R5" s="20" t="s">
        <v>196</v>
      </c>
      <c r="AF5" s="468"/>
      <c r="AG5" s="468"/>
      <c r="AH5" s="468"/>
      <c r="AI5" s="468"/>
      <c r="AJ5" s="468"/>
      <c r="AK5" s="468"/>
    </row>
    <row r="6" spans="26:37" ht="12.75">
      <c r="Z6" s="478"/>
      <c r="AA6" s="478"/>
      <c r="AB6" s="479"/>
      <c r="AC6" s="479"/>
      <c r="AD6" s="479"/>
      <c r="AE6" s="479"/>
      <c r="AF6" s="468" t="s">
        <v>516</v>
      </c>
      <c r="AG6" s="468"/>
      <c r="AH6" s="468"/>
      <c r="AI6" s="468"/>
      <c r="AJ6" s="468"/>
      <c r="AK6" s="468"/>
    </row>
    <row r="7" spans="1:37" ht="15" customHeight="1">
      <c r="A7" s="480" t="s">
        <v>517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1" t="s">
        <v>44</v>
      </c>
      <c r="AA7" s="481"/>
      <c r="AB7" s="482" t="s">
        <v>488</v>
      </c>
      <c r="AC7" s="482"/>
      <c r="AD7" s="482"/>
      <c r="AE7" s="482"/>
      <c r="AF7" s="482"/>
      <c r="AG7" s="482" t="s">
        <v>490</v>
      </c>
      <c r="AH7" s="482"/>
      <c r="AI7" s="482"/>
      <c r="AJ7" s="482"/>
      <c r="AK7" s="482"/>
    </row>
    <row r="8" spans="1:37" ht="12.75">
      <c r="A8" s="480"/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1"/>
      <c r="AA8" s="481"/>
      <c r="AB8" s="482" t="s">
        <v>518</v>
      </c>
      <c r="AC8" s="482"/>
      <c r="AD8" s="482"/>
      <c r="AE8" s="482"/>
      <c r="AF8" s="482"/>
      <c r="AG8" s="482"/>
      <c r="AH8" s="482"/>
      <c r="AI8" s="482"/>
      <c r="AJ8" s="482"/>
      <c r="AK8" s="482"/>
    </row>
    <row r="9" spans="1:37" ht="12.75" customHeight="1">
      <c r="A9" s="483" t="s">
        <v>519</v>
      </c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4">
        <v>2</v>
      </c>
      <c r="AA9" s="484"/>
      <c r="AB9" s="485">
        <v>3</v>
      </c>
      <c r="AC9" s="485"/>
      <c r="AD9" s="485"/>
      <c r="AE9" s="485"/>
      <c r="AF9" s="485"/>
      <c r="AG9" s="485">
        <v>4</v>
      </c>
      <c r="AH9" s="485"/>
      <c r="AI9" s="485"/>
      <c r="AJ9" s="485"/>
      <c r="AK9" s="485"/>
    </row>
    <row r="10" spans="1:37" ht="15.75" customHeight="1">
      <c r="A10" s="486" t="s">
        <v>520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4">
        <v>1</v>
      </c>
      <c r="AA10" s="484"/>
      <c r="AB10" s="485">
        <v>0</v>
      </c>
      <c r="AC10" s="485"/>
      <c r="AD10" s="485"/>
      <c r="AE10" s="485"/>
      <c r="AF10" s="485"/>
      <c r="AG10" s="485">
        <v>0</v>
      </c>
      <c r="AH10" s="485"/>
      <c r="AI10" s="485"/>
      <c r="AJ10" s="485"/>
      <c r="AK10" s="485"/>
    </row>
    <row r="11" spans="1:37" ht="15.75" customHeight="1">
      <c r="A11" s="486" t="s">
        <v>521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4">
        <v>2</v>
      </c>
      <c r="AA11" s="484"/>
      <c r="AB11" s="485">
        <v>0</v>
      </c>
      <c r="AC11" s="485"/>
      <c r="AD11" s="485"/>
      <c r="AE11" s="485"/>
      <c r="AF11" s="485"/>
      <c r="AG11" s="485">
        <v>0</v>
      </c>
      <c r="AH11" s="485"/>
      <c r="AI11" s="485"/>
      <c r="AJ11" s="485"/>
      <c r="AK11" s="485"/>
    </row>
    <row r="12" spans="1:37" ht="15.75" customHeight="1">
      <c r="A12" s="486" t="s">
        <v>522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4">
        <v>3</v>
      </c>
      <c r="AA12" s="484"/>
      <c r="AB12" s="485">
        <v>1266</v>
      </c>
      <c r="AC12" s="485"/>
      <c r="AD12" s="485"/>
      <c r="AE12" s="485"/>
      <c r="AF12" s="485"/>
      <c r="AG12" s="485">
        <v>1916</v>
      </c>
      <c r="AH12" s="485"/>
      <c r="AI12" s="485"/>
      <c r="AJ12" s="485"/>
      <c r="AK12" s="485"/>
    </row>
    <row r="13" spans="1:37" ht="15.75" customHeight="1">
      <c r="A13" s="486" t="s">
        <v>523</v>
      </c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4">
        <v>4</v>
      </c>
      <c r="AA13" s="484"/>
      <c r="AB13" s="485">
        <v>17522</v>
      </c>
      <c r="AC13" s="485"/>
      <c r="AD13" s="485"/>
      <c r="AE13" s="485"/>
      <c r="AF13" s="485"/>
      <c r="AG13" s="485">
        <v>12381</v>
      </c>
      <c r="AH13" s="485"/>
      <c r="AI13" s="485"/>
      <c r="AJ13" s="485"/>
      <c r="AK13" s="485"/>
    </row>
    <row r="14" spans="1:37" ht="15.75" customHeight="1">
      <c r="A14" s="486" t="s">
        <v>524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4">
        <v>5</v>
      </c>
      <c r="AA14" s="484"/>
      <c r="AB14" s="485">
        <v>0</v>
      </c>
      <c r="AC14" s="485"/>
      <c r="AD14" s="485"/>
      <c r="AE14" s="485"/>
      <c r="AF14" s="485"/>
      <c r="AG14" s="485">
        <v>0</v>
      </c>
      <c r="AH14" s="485"/>
      <c r="AI14" s="485"/>
      <c r="AJ14" s="485"/>
      <c r="AK14" s="485"/>
    </row>
    <row r="15" spans="1:37" ht="15.75" customHeight="1">
      <c r="A15" s="486" t="s">
        <v>525</v>
      </c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4">
        <v>6</v>
      </c>
      <c r="AA15" s="484"/>
      <c r="AB15" s="485">
        <v>0</v>
      </c>
      <c r="AC15" s="485"/>
      <c r="AD15" s="485"/>
      <c r="AE15" s="485"/>
      <c r="AF15" s="485"/>
      <c r="AG15" s="485">
        <v>0</v>
      </c>
      <c r="AH15" s="485"/>
      <c r="AI15" s="485"/>
      <c r="AJ15" s="485"/>
      <c r="AK15" s="485"/>
    </row>
    <row r="16" spans="1:37" ht="15.75" customHeight="1">
      <c r="A16" s="487" t="s">
        <v>526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8">
        <v>7</v>
      </c>
      <c r="AA16" s="488"/>
      <c r="AB16" s="489">
        <v>18788</v>
      </c>
      <c r="AC16" s="489"/>
      <c r="AD16" s="489"/>
      <c r="AE16" s="489"/>
      <c r="AF16" s="489"/>
      <c r="AG16" s="489">
        <v>14297</v>
      </c>
      <c r="AH16" s="489"/>
      <c r="AI16" s="489"/>
      <c r="AJ16" s="489"/>
      <c r="AK16" s="489"/>
    </row>
    <row r="17" spans="1:37" ht="15.75" customHeight="1">
      <c r="A17" s="486" t="s">
        <v>527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4">
        <v>8</v>
      </c>
      <c r="AA17" s="484"/>
      <c r="AB17" s="485">
        <v>1616141</v>
      </c>
      <c r="AC17" s="485"/>
      <c r="AD17" s="485"/>
      <c r="AE17" s="485"/>
      <c r="AF17" s="485"/>
      <c r="AG17" s="485">
        <v>1599445</v>
      </c>
      <c r="AH17" s="485"/>
      <c r="AI17" s="485"/>
      <c r="AJ17" s="485"/>
      <c r="AK17" s="485"/>
    </row>
    <row r="18" spans="1:37" ht="15.75" customHeight="1">
      <c r="A18" s="486" t="s">
        <v>528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4">
        <v>9</v>
      </c>
      <c r="AA18" s="484"/>
      <c r="AB18" s="485">
        <v>32613</v>
      </c>
      <c r="AC18" s="485"/>
      <c r="AD18" s="485"/>
      <c r="AE18" s="485"/>
      <c r="AF18" s="485"/>
      <c r="AG18" s="485">
        <v>27452</v>
      </c>
      <c r="AH18" s="485"/>
      <c r="AI18" s="485"/>
      <c r="AJ18" s="485"/>
      <c r="AK18" s="485"/>
    </row>
    <row r="19" spans="1:37" ht="15.75" customHeight="1">
      <c r="A19" s="486" t="s">
        <v>529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4">
        <v>10</v>
      </c>
      <c r="AA19" s="484"/>
      <c r="AB19" s="485">
        <v>7491</v>
      </c>
      <c r="AC19" s="485"/>
      <c r="AD19" s="485"/>
      <c r="AE19" s="485"/>
      <c r="AF19" s="485"/>
      <c r="AG19" s="485">
        <v>2978</v>
      </c>
      <c r="AH19" s="485"/>
      <c r="AI19" s="485"/>
      <c r="AJ19" s="485"/>
      <c r="AK19" s="485"/>
    </row>
    <row r="20" spans="1:37" ht="15.75" customHeight="1">
      <c r="A20" s="486" t="s">
        <v>530</v>
      </c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4">
        <v>11</v>
      </c>
      <c r="AA20" s="484"/>
      <c r="AB20" s="485"/>
      <c r="AC20" s="485"/>
      <c r="AD20" s="485"/>
      <c r="AE20" s="485"/>
      <c r="AF20" s="485"/>
      <c r="AG20" s="485">
        <v>0</v>
      </c>
      <c r="AH20" s="485"/>
      <c r="AI20" s="485"/>
      <c r="AJ20" s="485"/>
      <c r="AK20" s="485"/>
    </row>
    <row r="21" spans="1:37" ht="15.75" customHeight="1">
      <c r="A21" s="486" t="s">
        <v>531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4">
        <v>12</v>
      </c>
      <c r="AA21" s="484"/>
      <c r="AB21" s="485">
        <v>56959</v>
      </c>
      <c r="AC21" s="485"/>
      <c r="AD21" s="485"/>
      <c r="AE21" s="485"/>
      <c r="AF21" s="485"/>
      <c r="AG21" s="485">
        <v>80644</v>
      </c>
      <c r="AH21" s="485"/>
      <c r="AI21" s="485"/>
      <c r="AJ21" s="485"/>
      <c r="AK21" s="485"/>
    </row>
    <row r="22" spans="1:37" ht="15.75" customHeight="1">
      <c r="A22" s="486" t="s">
        <v>532</v>
      </c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4">
        <v>13</v>
      </c>
      <c r="AA22" s="484"/>
      <c r="AB22" s="485">
        <v>0</v>
      </c>
      <c r="AC22" s="485"/>
      <c r="AD22" s="485"/>
      <c r="AE22" s="485"/>
      <c r="AF22" s="485"/>
      <c r="AG22" s="485">
        <v>0</v>
      </c>
      <c r="AH22" s="485"/>
      <c r="AI22" s="485"/>
      <c r="AJ22" s="485"/>
      <c r="AK22" s="485"/>
    </row>
    <row r="23" spans="1:37" ht="15.75" customHeight="1">
      <c r="A23" s="486" t="s">
        <v>533</v>
      </c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4">
        <v>14</v>
      </c>
      <c r="AA23" s="484"/>
      <c r="AB23" s="485">
        <v>0</v>
      </c>
      <c r="AC23" s="485"/>
      <c r="AD23" s="485"/>
      <c r="AE23" s="485"/>
      <c r="AF23" s="485"/>
      <c r="AG23" s="485">
        <v>0</v>
      </c>
      <c r="AH23" s="485"/>
      <c r="AI23" s="485"/>
      <c r="AJ23" s="485"/>
      <c r="AK23" s="485"/>
    </row>
    <row r="24" spans="1:37" ht="15.75" customHeight="1">
      <c r="A24" s="486" t="s">
        <v>534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4">
        <v>15</v>
      </c>
      <c r="AA24" s="484"/>
      <c r="AB24" s="485">
        <v>0</v>
      </c>
      <c r="AC24" s="485"/>
      <c r="AD24" s="485"/>
      <c r="AE24" s="485"/>
      <c r="AF24" s="485"/>
      <c r="AG24" s="485">
        <v>0</v>
      </c>
      <c r="AH24" s="485"/>
      <c r="AI24" s="485"/>
      <c r="AJ24" s="485"/>
      <c r="AK24" s="485"/>
    </row>
    <row r="25" spans="1:37" ht="15.75" customHeight="1">
      <c r="A25" s="487" t="s">
        <v>535</v>
      </c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8">
        <v>16</v>
      </c>
      <c r="AA25" s="488"/>
      <c r="AB25" s="489">
        <v>1713204</v>
      </c>
      <c r="AC25" s="489"/>
      <c r="AD25" s="489"/>
      <c r="AE25" s="489"/>
      <c r="AF25" s="489"/>
      <c r="AG25" s="489">
        <v>1710519</v>
      </c>
      <c r="AH25" s="489"/>
      <c r="AI25" s="489"/>
      <c r="AJ25" s="489"/>
      <c r="AK25" s="489"/>
    </row>
    <row r="26" spans="1:37" ht="15.75" customHeight="1">
      <c r="A26" s="486" t="s">
        <v>536</v>
      </c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4">
        <v>17</v>
      </c>
      <c r="AA26" s="484"/>
      <c r="AB26" s="485">
        <v>6966</v>
      </c>
      <c r="AC26" s="485"/>
      <c r="AD26" s="485"/>
      <c r="AE26" s="485"/>
      <c r="AF26" s="485"/>
      <c r="AG26" s="485">
        <v>8276</v>
      </c>
      <c r="AH26" s="485"/>
      <c r="AI26" s="485"/>
      <c r="AJ26" s="485"/>
      <c r="AK26" s="485"/>
    </row>
    <row r="27" spans="1:37" ht="15.75" customHeight="1">
      <c r="A27" s="486" t="s">
        <v>537</v>
      </c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4">
        <v>18</v>
      </c>
      <c r="AA27" s="484"/>
      <c r="AB27" s="485">
        <v>0</v>
      </c>
      <c r="AC27" s="485"/>
      <c r="AD27" s="485"/>
      <c r="AE27" s="485"/>
      <c r="AF27" s="485"/>
      <c r="AG27" s="485">
        <v>0</v>
      </c>
      <c r="AH27" s="485"/>
      <c r="AI27" s="485"/>
      <c r="AJ27" s="485"/>
      <c r="AK27" s="485"/>
    </row>
    <row r="28" spans="1:37" ht="15.75" customHeight="1">
      <c r="A28" s="486" t="s">
        <v>538</v>
      </c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4">
        <v>19</v>
      </c>
      <c r="AA28" s="484"/>
      <c r="AB28" s="485">
        <v>0</v>
      </c>
      <c r="AC28" s="485"/>
      <c r="AD28" s="485"/>
      <c r="AE28" s="485"/>
      <c r="AF28" s="485"/>
      <c r="AG28" s="485">
        <v>0</v>
      </c>
      <c r="AH28" s="485"/>
      <c r="AI28" s="485"/>
      <c r="AJ28" s="485"/>
      <c r="AK28" s="485"/>
    </row>
    <row r="29" spans="1:37" ht="15.75" customHeight="1">
      <c r="A29" s="486" t="s">
        <v>539</v>
      </c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4">
        <v>20</v>
      </c>
      <c r="AA29" s="484"/>
      <c r="AB29" s="485">
        <v>0</v>
      </c>
      <c r="AC29" s="485"/>
      <c r="AD29" s="485"/>
      <c r="AE29" s="485"/>
      <c r="AF29" s="485"/>
      <c r="AG29" s="485">
        <v>0</v>
      </c>
      <c r="AH29" s="485"/>
      <c r="AI29" s="485"/>
      <c r="AJ29" s="485"/>
      <c r="AK29" s="485"/>
    </row>
    <row r="30" spans="1:37" ht="15.75" customHeight="1">
      <c r="A30" s="486" t="s">
        <v>540</v>
      </c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4">
        <v>21</v>
      </c>
      <c r="AA30" s="484"/>
      <c r="AB30" s="485">
        <v>0</v>
      </c>
      <c r="AC30" s="485"/>
      <c r="AD30" s="485"/>
      <c r="AE30" s="485"/>
      <c r="AF30" s="485"/>
      <c r="AG30" s="485">
        <v>0</v>
      </c>
      <c r="AH30" s="485"/>
      <c r="AI30" s="485"/>
      <c r="AJ30" s="485"/>
      <c r="AK30" s="485"/>
    </row>
    <row r="31" spans="1:37" ht="15.75" customHeight="1">
      <c r="A31" s="486" t="s">
        <v>541</v>
      </c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4">
        <v>22</v>
      </c>
      <c r="AA31" s="484"/>
      <c r="AB31" s="485">
        <v>0</v>
      </c>
      <c r="AC31" s="485"/>
      <c r="AD31" s="485"/>
      <c r="AE31" s="485"/>
      <c r="AF31" s="485"/>
      <c r="AG31" s="485">
        <v>0</v>
      </c>
      <c r="AH31" s="485"/>
      <c r="AI31" s="485"/>
      <c r="AJ31" s="485"/>
      <c r="AK31" s="485"/>
    </row>
    <row r="32" spans="1:37" ht="15.75" customHeight="1">
      <c r="A32" s="487" t="s">
        <v>542</v>
      </c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8">
        <v>23</v>
      </c>
      <c r="AA32" s="488"/>
      <c r="AB32" s="489">
        <v>6966</v>
      </c>
      <c r="AC32" s="489"/>
      <c r="AD32" s="489"/>
      <c r="AE32" s="489"/>
      <c r="AF32" s="489"/>
      <c r="AG32" s="489">
        <v>8276</v>
      </c>
      <c r="AH32" s="489"/>
      <c r="AI32" s="489"/>
      <c r="AJ32" s="489"/>
      <c r="AK32" s="489"/>
    </row>
    <row r="33" spans="1:37" ht="15.75" customHeight="1">
      <c r="A33" s="486" t="s">
        <v>543</v>
      </c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4">
        <v>24</v>
      </c>
      <c r="AA33" s="484"/>
      <c r="AB33" s="485">
        <v>138315</v>
      </c>
      <c r="AC33" s="485"/>
      <c r="AD33" s="485"/>
      <c r="AE33" s="485"/>
      <c r="AF33" s="485"/>
      <c r="AG33" s="485">
        <v>132170</v>
      </c>
      <c r="AH33" s="485"/>
      <c r="AI33" s="485"/>
      <c r="AJ33" s="485"/>
      <c r="AK33" s="485"/>
    </row>
    <row r="34" spans="1:37" ht="15.75" customHeight="1">
      <c r="A34" s="486" t="s">
        <v>544</v>
      </c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4">
        <v>25</v>
      </c>
      <c r="AA34" s="484"/>
      <c r="AB34" s="485">
        <v>0</v>
      </c>
      <c r="AC34" s="485"/>
      <c r="AD34" s="485"/>
      <c r="AE34" s="485"/>
      <c r="AF34" s="485"/>
      <c r="AG34" s="485">
        <v>0</v>
      </c>
      <c r="AH34" s="485"/>
      <c r="AI34" s="485"/>
      <c r="AJ34" s="485"/>
      <c r="AK34" s="485"/>
    </row>
    <row r="35" spans="1:37" ht="15.75" customHeight="1">
      <c r="A35" s="486" t="s">
        <v>545</v>
      </c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4">
        <v>26</v>
      </c>
      <c r="AA35" s="484"/>
      <c r="AB35" s="485">
        <v>0</v>
      </c>
      <c r="AC35" s="485"/>
      <c r="AD35" s="485"/>
      <c r="AE35" s="485"/>
      <c r="AF35" s="485"/>
      <c r="AG35" s="485">
        <v>0</v>
      </c>
      <c r="AH35" s="485"/>
      <c r="AI35" s="485"/>
      <c r="AJ35" s="485"/>
      <c r="AK35" s="485"/>
    </row>
    <row r="36" spans="1:37" ht="15.75" customHeight="1">
      <c r="A36" s="486" t="s">
        <v>546</v>
      </c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4">
        <v>27</v>
      </c>
      <c r="AA36" s="484"/>
      <c r="AB36" s="485">
        <v>0</v>
      </c>
      <c r="AC36" s="485"/>
      <c r="AD36" s="485"/>
      <c r="AE36" s="485"/>
      <c r="AF36" s="485"/>
      <c r="AG36" s="485">
        <v>0</v>
      </c>
      <c r="AH36" s="485"/>
      <c r="AI36" s="485"/>
      <c r="AJ36" s="485"/>
      <c r="AK36" s="485"/>
    </row>
    <row r="37" spans="1:37" ht="15.75" customHeight="1">
      <c r="A37" s="486" t="s">
        <v>547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4">
        <v>28</v>
      </c>
      <c r="AA37" s="484"/>
      <c r="AB37" s="485">
        <v>0</v>
      </c>
      <c r="AC37" s="485"/>
      <c r="AD37" s="485"/>
      <c r="AE37" s="485"/>
      <c r="AF37" s="485"/>
      <c r="AG37" s="485">
        <v>0</v>
      </c>
      <c r="AH37" s="485"/>
      <c r="AI37" s="485"/>
      <c r="AJ37" s="485"/>
      <c r="AK37" s="485"/>
    </row>
    <row r="38" spans="1:37" ht="15.75" customHeight="1">
      <c r="A38" s="487" t="s">
        <v>548</v>
      </c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8">
        <v>29</v>
      </c>
      <c r="AA38" s="488"/>
      <c r="AB38" s="489">
        <v>138315</v>
      </c>
      <c r="AC38" s="489"/>
      <c r="AD38" s="489"/>
      <c r="AE38" s="489"/>
      <c r="AF38" s="489"/>
      <c r="AG38" s="489">
        <v>132170</v>
      </c>
      <c r="AH38" s="489"/>
      <c r="AI38" s="489"/>
      <c r="AJ38" s="489"/>
      <c r="AK38" s="489"/>
    </row>
    <row r="39" spans="1:37" ht="15.75" customHeight="1">
      <c r="A39" s="487" t="s">
        <v>549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8">
        <v>30</v>
      </c>
      <c r="AA39" s="488"/>
      <c r="AB39" s="489">
        <v>1877273</v>
      </c>
      <c r="AC39" s="489"/>
      <c r="AD39" s="489"/>
      <c r="AE39" s="489"/>
      <c r="AF39" s="489"/>
      <c r="AG39" s="489">
        <v>1865262</v>
      </c>
      <c r="AH39" s="489"/>
      <c r="AI39" s="489"/>
      <c r="AJ39" s="489"/>
      <c r="AK39" s="489"/>
    </row>
    <row r="40" spans="1:37" ht="15.75" customHeight="1">
      <c r="A40" s="486" t="s">
        <v>550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4">
        <v>31</v>
      </c>
      <c r="AA40" s="484"/>
      <c r="AB40" s="485">
        <v>498</v>
      </c>
      <c r="AC40" s="485"/>
      <c r="AD40" s="485"/>
      <c r="AE40" s="485"/>
      <c r="AF40" s="485"/>
      <c r="AG40" s="485">
        <v>412</v>
      </c>
      <c r="AH40" s="485"/>
      <c r="AI40" s="485"/>
      <c r="AJ40" s="485"/>
      <c r="AK40" s="485"/>
    </row>
    <row r="41" spans="1:37" ht="15.75" customHeight="1">
      <c r="A41" s="486" t="s">
        <v>551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4">
        <v>32</v>
      </c>
      <c r="AA41" s="484"/>
      <c r="AB41" s="485">
        <v>0</v>
      </c>
      <c r="AC41" s="485"/>
      <c r="AD41" s="485"/>
      <c r="AE41" s="485"/>
      <c r="AF41" s="485"/>
      <c r="AG41" s="485">
        <v>0</v>
      </c>
      <c r="AH41" s="485"/>
      <c r="AI41" s="485"/>
      <c r="AJ41" s="485"/>
      <c r="AK41" s="485"/>
    </row>
    <row r="42" spans="1:37" ht="15.75" customHeight="1">
      <c r="A42" s="486" t="s">
        <v>552</v>
      </c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4">
        <v>33</v>
      </c>
      <c r="AA42" s="484"/>
      <c r="AB42" s="485">
        <v>0</v>
      </c>
      <c r="AC42" s="485"/>
      <c r="AD42" s="485"/>
      <c r="AE42" s="485"/>
      <c r="AF42" s="485"/>
      <c r="AG42" s="485">
        <v>0</v>
      </c>
      <c r="AH42" s="485"/>
      <c r="AI42" s="485"/>
      <c r="AJ42" s="485"/>
      <c r="AK42" s="485"/>
    </row>
    <row r="43" spans="1:37" ht="15.75" customHeight="1">
      <c r="A43" s="486" t="s">
        <v>553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4">
        <v>34</v>
      </c>
      <c r="AA43" s="484"/>
      <c r="AB43" s="485">
        <v>0</v>
      </c>
      <c r="AC43" s="485"/>
      <c r="AD43" s="485"/>
      <c r="AE43" s="485"/>
      <c r="AF43" s="485"/>
      <c r="AG43" s="485">
        <v>0</v>
      </c>
      <c r="AH43" s="485"/>
      <c r="AI43" s="485"/>
      <c r="AJ43" s="485"/>
      <c r="AK43" s="485"/>
    </row>
    <row r="44" spans="1:37" ht="15.75" customHeight="1">
      <c r="A44" s="486" t="s">
        <v>554</v>
      </c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4">
        <v>35</v>
      </c>
      <c r="AA44" s="484"/>
      <c r="AB44" s="485">
        <v>0</v>
      </c>
      <c r="AC44" s="485"/>
      <c r="AD44" s="485"/>
      <c r="AE44" s="485"/>
      <c r="AF44" s="485"/>
      <c r="AG44" s="485">
        <v>0</v>
      </c>
      <c r="AH44" s="485"/>
      <c r="AI44" s="485"/>
      <c r="AJ44" s="485"/>
      <c r="AK44" s="485"/>
    </row>
    <row r="45" spans="1:37" ht="15.75" customHeight="1">
      <c r="A45" s="486" t="s">
        <v>555</v>
      </c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4">
        <v>36</v>
      </c>
      <c r="AA45" s="484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</row>
    <row r="46" spans="1:37" ht="15.75" customHeight="1">
      <c r="A46" s="487" t="s">
        <v>556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8">
        <v>37</v>
      </c>
      <c r="AA46" s="488"/>
      <c r="AB46" s="489">
        <v>498</v>
      </c>
      <c r="AC46" s="489"/>
      <c r="AD46" s="489"/>
      <c r="AE46" s="489"/>
      <c r="AF46" s="489"/>
      <c r="AG46" s="489">
        <v>412</v>
      </c>
      <c r="AH46" s="489"/>
      <c r="AI46" s="489"/>
      <c r="AJ46" s="489"/>
      <c r="AK46" s="489"/>
    </row>
    <row r="47" spans="1:37" ht="15.75" customHeight="1">
      <c r="A47" s="486" t="s">
        <v>557</v>
      </c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  <c r="V47" s="486"/>
      <c r="W47" s="486"/>
      <c r="X47" s="486"/>
      <c r="Y47" s="486"/>
      <c r="Z47" s="484">
        <v>38</v>
      </c>
      <c r="AA47" s="484"/>
      <c r="AB47" s="485">
        <v>112</v>
      </c>
      <c r="AC47" s="485"/>
      <c r="AD47" s="485"/>
      <c r="AE47" s="485"/>
      <c r="AF47" s="485"/>
      <c r="AG47" s="485">
        <v>101</v>
      </c>
      <c r="AH47" s="485"/>
      <c r="AI47" s="485"/>
      <c r="AJ47" s="485"/>
      <c r="AK47" s="485"/>
    </row>
    <row r="48" spans="1:37" ht="15.75" customHeight="1">
      <c r="A48" s="486" t="s">
        <v>558</v>
      </c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4">
        <v>39</v>
      </c>
      <c r="AA48" s="484"/>
      <c r="AB48" s="485">
        <v>21002</v>
      </c>
      <c r="AC48" s="485"/>
      <c r="AD48" s="485"/>
      <c r="AE48" s="485"/>
      <c r="AF48" s="485"/>
      <c r="AG48" s="485">
        <v>20238</v>
      </c>
      <c r="AH48" s="485"/>
      <c r="AI48" s="485"/>
      <c r="AJ48" s="485"/>
      <c r="AK48" s="485"/>
    </row>
    <row r="49" spans="1:37" ht="15.75" customHeight="1">
      <c r="A49" s="486" t="s">
        <v>559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4">
        <v>40</v>
      </c>
      <c r="AA49" s="484"/>
      <c r="AB49" s="485">
        <v>0</v>
      </c>
      <c r="AC49" s="485"/>
      <c r="AD49" s="485"/>
      <c r="AE49" s="485"/>
      <c r="AF49" s="485"/>
      <c r="AG49" s="485">
        <v>0</v>
      </c>
      <c r="AH49" s="485"/>
      <c r="AI49" s="485"/>
      <c r="AJ49" s="485"/>
      <c r="AK49" s="485"/>
    </row>
    <row r="50" spans="1:37" ht="15.75" customHeight="1">
      <c r="A50" s="486" t="s">
        <v>560</v>
      </c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4">
        <v>41</v>
      </c>
      <c r="AA50" s="484"/>
      <c r="AB50" s="485">
        <v>33</v>
      </c>
      <c r="AC50" s="485"/>
      <c r="AD50" s="485"/>
      <c r="AE50" s="485"/>
      <c r="AF50" s="485"/>
      <c r="AG50" s="485">
        <v>33</v>
      </c>
      <c r="AH50" s="485"/>
      <c r="AI50" s="485"/>
      <c r="AJ50" s="485"/>
      <c r="AK50" s="485"/>
    </row>
    <row r="51" spans="1:37" ht="15.75" customHeight="1">
      <c r="A51" s="486" t="s">
        <v>561</v>
      </c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4">
        <v>42</v>
      </c>
      <c r="AA51" s="484"/>
      <c r="AB51" s="485">
        <v>0</v>
      </c>
      <c r="AC51" s="485"/>
      <c r="AD51" s="485"/>
      <c r="AE51" s="485"/>
      <c r="AF51" s="485"/>
      <c r="AG51" s="485">
        <v>0</v>
      </c>
      <c r="AH51" s="485"/>
      <c r="AI51" s="485"/>
      <c r="AJ51" s="485"/>
      <c r="AK51" s="485"/>
    </row>
    <row r="52" spans="1:37" ht="15.75" customHeight="1">
      <c r="A52" s="486" t="s">
        <v>562</v>
      </c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4">
        <v>43</v>
      </c>
      <c r="AA52" s="484"/>
      <c r="AB52" s="485">
        <v>0</v>
      </c>
      <c r="AC52" s="485"/>
      <c r="AD52" s="485"/>
      <c r="AE52" s="485"/>
      <c r="AF52" s="485"/>
      <c r="AG52" s="485">
        <v>0</v>
      </c>
      <c r="AH52" s="485"/>
      <c r="AI52" s="485"/>
      <c r="AJ52" s="485"/>
      <c r="AK52" s="485"/>
    </row>
    <row r="53" spans="1:37" ht="15.75" customHeight="1">
      <c r="A53" s="486" t="s">
        <v>563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4">
        <v>44</v>
      </c>
      <c r="AA53" s="484"/>
      <c r="AB53" s="485">
        <v>0</v>
      </c>
      <c r="AC53" s="485"/>
      <c r="AD53" s="485"/>
      <c r="AE53" s="485"/>
      <c r="AF53" s="485"/>
      <c r="AG53" s="485">
        <v>0</v>
      </c>
      <c r="AH53" s="485"/>
      <c r="AI53" s="485"/>
      <c r="AJ53" s="485"/>
      <c r="AK53" s="485"/>
    </row>
    <row r="54" spans="1:37" ht="15.75" customHeight="1">
      <c r="A54" s="486" t="s">
        <v>564</v>
      </c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6"/>
      <c r="V54" s="486"/>
      <c r="W54" s="486"/>
      <c r="X54" s="486"/>
      <c r="Y54" s="486"/>
      <c r="Z54" s="484">
        <v>45</v>
      </c>
      <c r="AA54" s="484"/>
      <c r="AB54" s="485">
        <v>0</v>
      </c>
      <c r="AC54" s="485"/>
      <c r="AD54" s="485"/>
      <c r="AE54" s="485"/>
      <c r="AF54" s="485"/>
      <c r="AG54" s="485">
        <v>0</v>
      </c>
      <c r="AH54" s="485"/>
      <c r="AI54" s="485"/>
      <c r="AJ54" s="485"/>
      <c r="AK54" s="485"/>
    </row>
    <row r="55" spans="1:37" ht="15.75" customHeight="1">
      <c r="A55" s="486" t="s">
        <v>565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6"/>
      <c r="V55" s="486"/>
      <c r="W55" s="486"/>
      <c r="X55" s="486"/>
      <c r="Y55" s="486"/>
      <c r="Z55" s="484">
        <v>46</v>
      </c>
      <c r="AA55" s="484"/>
      <c r="AB55" s="485">
        <v>0</v>
      </c>
      <c r="AC55" s="485"/>
      <c r="AD55" s="485"/>
      <c r="AE55" s="485"/>
      <c r="AF55" s="485"/>
      <c r="AG55" s="485">
        <v>0</v>
      </c>
      <c r="AH55" s="485"/>
      <c r="AI55" s="485"/>
      <c r="AJ55" s="485"/>
      <c r="AK55" s="485"/>
    </row>
    <row r="56" spans="1:37" ht="15.75" customHeight="1">
      <c r="A56" s="486" t="s">
        <v>566</v>
      </c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6"/>
      <c r="V56" s="486"/>
      <c r="W56" s="486"/>
      <c r="X56" s="486"/>
      <c r="Y56" s="486"/>
      <c r="Z56" s="484">
        <v>47</v>
      </c>
      <c r="AA56" s="484"/>
      <c r="AB56" s="485">
        <v>0</v>
      </c>
      <c r="AC56" s="485"/>
      <c r="AD56" s="485"/>
      <c r="AE56" s="485"/>
      <c r="AF56" s="485"/>
      <c r="AG56" s="485">
        <v>0</v>
      </c>
      <c r="AH56" s="485"/>
      <c r="AI56" s="485"/>
      <c r="AJ56" s="485"/>
      <c r="AK56" s="485"/>
    </row>
    <row r="57" spans="1:37" ht="15.75" customHeight="1">
      <c r="A57" s="487" t="s">
        <v>567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8">
        <v>48</v>
      </c>
      <c r="AA57" s="488"/>
      <c r="AB57" s="489">
        <v>21147</v>
      </c>
      <c r="AC57" s="489"/>
      <c r="AD57" s="489"/>
      <c r="AE57" s="489"/>
      <c r="AF57" s="489"/>
      <c r="AG57" s="489">
        <v>20372</v>
      </c>
      <c r="AH57" s="489"/>
      <c r="AI57" s="489"/>
      <c r="AJ57" s="489"/>
      <c r="AK57" s="489"/>
    </row>
    <row r="58" spans="1:37" ht="15.75" customHeight="1">
      <c r="A58" s="486" t="s">
        <v>568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4">
        <v>49</v>
      </c>
      <c r="AA58" s="484"/>
      <c r="AB58" s="485">
        <v>0</v>
      </c>
      <c r="AC58" s="485"/>
      <c r="AD58" s="485"/>
      <c r="AE58" s="485"/>
      <c r="AF58" s="485"/>
      <c r="AG58" s="485">
        <v>0</v>
      </c>
      <c r="AH58" s="485"/>
      <c r="AI58" s="485"/>
      <c r="AJ58" s="485"/>
      <c r="AK58" s="485"/>
    </row>
    <row r="59" spans="1:37" ht="15.75" customHeight="1">
      <c r="A59" s="486" t="s">
        <v>569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486"/>
      <c r="W59" s="486"/>
      <c r="X59" s="486"/>
      <c r="Y59" s="486"/>
      <c r="Z59" s="484">
        <v>50</v>
      </c>
      <c r="AA59" s="484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</row>
    <row r="60" spans="1:37" ht="15.75" customHeight="1">
      <c r="A60" s="486" t="s">
        <v>570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486"/>
      <c r="X60" s="486"/>
      <c r="Y60" s="486"/>
      <c r="Z60" s="484">
        <v>51</v>
      </c>
      <c r="AA60" s="484"/>
      <c r="AB60" s="485">
        <v>0</v>
      </c>
      <c r="AC60" s="485"/>
      <c r="AD60" s="485"/>
      <c r="AE60" s="485"/>
      <c r="AF60" s="485"/>
      <c r="AG60" s="485">
        <v>0</v>
      </c>
      <c r="AH60" s="485"/>
      <c r="AI60" s="485"/>
      <c r="AJ60" s="485"/>
      <c r="AK60" s="485"/>
    </row>
    <row r="61" spans="1:37" ht="15.75" customHeight="1">
      <c r="A61" s="486" t="s">
        <v>571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6"/>
      <c r="U61" s="486"/>
      <c r="V61" s="486"/>
      <c r="W61" s="486"/>
      <c r="X61" s="486"/>
      <c r="Y61" s="486"/>
      <c r="Z61" s="484">
        <v>52</v>
      </c>
      <c r="AA61" s="484"/>
      <c r="AB61" s="490"/>
      <c r="AC61" s="490"/>
      <c r="AD61" s="490"/>
      <c r="AE61" s="490"/>
      <c r="AF61" s="490"/>
      <c r="AG61" s="490"/>
      <c r="AH61" s="490"/>
      <c r="AI61" s="490"/>
      <c r="AJ61" s="490"/>
      <c r="AK61" s="490"/>
    </row>
    <row r="62" spans="1:37" ht="15.75" customHeight="1">
      <c r="A62" s="487" t="s">
        <v>572</v>
      </c>
      <c r="B62" s="487"/>
      <c r="C62" s="487"/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4">
        <v>53</v>
      </c>
      <c r="AA62" s="484"/>
      <c r="AB62" s="489">
        <v>0</v>
      </c>
      <c r="AC62" s="489"/>
      <c r="AD62" s="489"/>
      <c r="AE62" s="489"/>
      <c r="AF62" s="489"/>
      <c r="AG62" s="489">
        <v>0</v>
      </c>
      <c r="AH62" s="489"/>
      <c r="AI62" s="489"/>
      <c r="AJ62" s="489"/>
      <c r="AK62" s="489"/>
    </row>
    <row r="63" spans="1:37" ht="15.75" customHeight="1">
      <c r="A63" s="486" t="s">
        <v>573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  <c r="W63" s="486"/>
      <c r="X63" s="486"/>
      <c r="Y63" s="486"/>
      <c r="Z63" s="484">
        <v>54</v>
      </c>
      <c r="AA63" s="484"/>
      <c r="AB63" s="485">
        <v>688</v>
      </c>
      <c r="AC63" s="485"/>
      <c r="AD63" s="485"/>
      <c r="AE63" s="485"/>
      <c r="AF63" s="485"/>
      <c r="AG63" s="485">
        <v>155</v>
      </c>
      <c r="AH63" s="485"/>
      <c r="AI63" s="485"/>
      <c r="AJ63" s="485"/>
      <c r="AK63" s="485"/>
    </row>
    <row r="64" spans="1:37" ht="15.75" customHeight="1">
      <c r="A64" s="486" t="s">
        <v>574</v>
      </c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  <c r="W64" s="486"/>
      <c r="X64" s="486"/>
      <c r="Y64" s="486"/>
      <c r="Z64" s="484">
        <v>55</v>
      </c>
      <c r="AA64" s="484"/>
      <c r="AB64" s="485">
        <v>286625</v>
      </c>
      <c r="AC64" s="485"/>
      <c r="AD64" s="485"/>
      <c r="AE64" s="485"/>
      <c r="AF64" s="485"/>
      <c r="AG64" s="485">
        <v>284340</v>
      </c>
      <c r="AH64" s="485"/>
      <c r="AI64" s="485"/>
      <c r="AJ64" s="485"/>
      <c r="AK64" s="485"/>
    </row>
    <row r="65" spans="1:37" ht="15.75" customHeight="1">
      <c r="A65" s="486" t="s">
        <v>575</v>
      </c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4">
        <v>56</v>
      </c>
      <c r="AA65" s="484"/>
      <c r="AB65" s="485">
        <v>0</v>
      </c>
      <c r="AC65" s="485"/>
      <c r="AD65" s="485"/>
      <c r="AE65" s="485"/>
      <c r="AF65" s="485"/>
      <c r="AG65" s="485">
        <v>0</v>
      </c>
      <c r="AH65" s="485"/>
      <c r="AI65" s="485"/>
      <c r="AJ65" s="485"/>
      <c r="AK65" s="485"/>
    </row>
    <row r="66" spans="1:37" ht="15.75" customHeight="1">
      <c r="A66" s="486" t="s">
        <v>576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486"/>
      <c r="Z66" s="484">
        <v>57</v>
      </c>
      <c r="AA66" s="484"/>
      <c r="AB66" s="485">
        <v>69</v>
      </c>
      <c r="AC66" s="485"/>
      <c r="AD66" s="485"/>
      <c r="AE66" s="485"/>
      <c r="AF66" s="485"/>
      <c r="AG66" s="485">
        <v>119</v>
      </c>
      <c r="AH66" s="485"/>
      <c r="AI66" s="485"/>
      <c r="AJ66" s="485"/>
      <c r="AK66" s="485"/>
    </row>
    <row r="67" spans="1:37" ht="15.75" customHeight="1">
      <c r="A67" s="487" t="s">
        <v>577</v>
      </c>
      <c r="B67" s="487"/>
      <c r="C67" s="487"/>
      <c r="D67" s="487"/>
      <c r="E67" s="487"/>
      <c r="F67" s="487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4">
        <v>58</v>
      </c>
      <c r="AA67" s="484"/>
      <c r="AB67" s="489">
        <v>287382</v>
      </c>
      <c r="AC67" s="489"/>
      <c r="AD67" s="489"/>
      <c r="AE67" s="489"/>
      <c r="AF67" s="489"/>
      <c r="AG67" s="489">
        <v>284614</v>
      </c>
      <c r="AH67" s="489"/>
      <c r="AI67" s="489"/>
      <c r="AJ67" s="489"/>
      <c r="AK67" s="489"/>
    </row>
    <row r="68" spans="1:37" ht="15.75" customHeight="1">
      <c r="A68" s="486" t="s">
        <v>578</v>
      </c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6"/>
      <c r="T68" s="486"/>
      <c r="U68" s="486"/>
      <c r="V68" s="486"/>
      <c r="W68" s="486"/>
      <c r="X68" s="486"/>
      <c r="Y68" s="486"/>
      <c r="Z68" s="484">
        <v>59</v>
      </c>
      <c r="AA68" s="484"/>
      <c r="AB68" s="485">
        <v>41758</v>
      </c>
      <c r="AC68" s="485"/>
      <c r="AD68" s="485"/>
      <c r="AE68" s="485"/>
      <c r="AF68" s="485"/>
      <c r="AG68" s="485">
        <v>5670</v>
      </c>
      <c r="AH68" s="485"/>
      <c r="AI68" s="485"/>
      <c r="AJ68" s="485"/>
      <c r="AK68" s="485"/>
    </row>
    <row r="69" spans="1:37" ht="15.75" customHeight="1">
      <c r="A69" s="486" t="s">
        <v>579</v>
      </c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6"/>
      <c r="W69" s="486"/>
      <c r="X69" s="486"/>
      <c r="Y69" s="486"/>
      <c r="Z69" s="484">
        <v>60</v>
      </c>
      <c r="AA69" s="484"/>
      <c r="AB69" s="485">
        <v>0</v>
      </c>
      <c r="AC69" s="485"/>
      <c r="AD69" s="485"/>
      <c r="AE69" s="485"/>
      <c r="AF69" s="485"/>
      <c r="AG69" s="485">
        <v>344</v>
      </c>
      <c r="AH69" s="485"/>
      <c r="AI69" s="485"/>
      <c r="AJ69" s="485"/>
      <c r="AK69" s="485"/>
    </row>
    <row r="70" spans="1:37" ht="15.75" customHeight="1">
      <c r="A70" s="486" t="s">
        <v>580</v>
      </c>
      <c r="B70" s="486"/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486"/>
      <c r="X70" s="486"/>
      <c r="Y70" s="486"/>
      <c r="Z70" s="484">
        <v>61</v>
      </c>
      <c r="AA70" s="484"/>
      <c r="AB70" s="485">
        <v>0</v>
      </c>
      <c r="AC70" s="485"/>
      <c r="AD70" s="485"/>
      <c r="AE70" s="485"/>
      <c r="AF70" s="485"/>
      <c r="AG70" s="485">
        <v>0</v>
      </c>
      <c r="AH70" s="485"/>
      <c r="AI70" s="485"/>
      <c r="AJ70" s="485"/>
      <c r="AK70" s="485"/>
    </row>
    <row r="71" spans="1:37" ht="15.75" customHeight="1">
      <c r="A71" s="486" t="s">
        <v>581</v>
      </c>
      <c r="B71" s="486"/>
      <c r="C71" s="486"/>
      <c r="D71" s="486"/>
      <c r="E71" s="486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6"/>
      <c r="W71" s="486"/>
      <c r="X71" s="486"/>
      <c r="Y71" s="486"/>
      <c r="Z71" s="484">
        <v>62</v>
      </c>
      <c r="AA71" s="484"/>
      <c r="AB71" s="485">
        <v>0</v>
      </c>
      <c r="AC71" s="485"/>
      <c r="AD71" s="485"/>
      <c r="AE71" s="485"/>
      <c r="AF71" s="485"/>
      <c r="AG71" s="485">
        <v>0</v>
      </c>
      <c r="AH71" s="485"/>
      <c r="AI71" s="485"/>
      <c r="AJ71" s="485"/>
      <c r="AK71" s="485"/>
    </row>
    <row r="72" spans="1:37" ht="15.75" customHeight="1">
      <c r="A72" s="487" t="s">
        <v>582</v>
      </c>
      <c r="B72" s="487"/>
      <c r="C72" s="487"/>
      <c r="D72" s="487"/>
      <c r="E72" s="487"/>
      <c r="F72" s="487"/>
      <c r="G72" s="487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4">
        <v>63</v>
      </c>
      <c r="AA72" s="484"/>
      <c r="AB72" s="489">
        <v>41758</v>
      </c>
      <c r="AC72" s="489"/>
      <c r="AD72" s="489"/>
      <c r="AE72" s="489"/>
      <c r="AF72" s="489"/>
      <c r="AG72" s="489">
        <v>6014</v>
      </c>
      <c r="AH72" s="489"/>
      <c r="AI72" s="489"/>
      <c r="AJ72" s="489"/>
      <c r="AK72" s="489"/>
    </row>
    <row r="73" spans="1:37" ht="15" customHeight="1">
      <c r="A73" s="487" t="s">
        <v>583</v>
      </c>
      <c r="B73" s="487"/>
      <c r="C73" s="487"/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4">
        <v>64</v>
      </c>
      <c r="AA73" s="484"/>
      <c r="AB73" s="489">
        <v>350785</v>
      </c>
      <c r="AC73" s="489"/>
      <c r="AD73" s="489"/>
      <c r="AE73" s="489"/>
      <c r="AF73" s="489"/>
      <c r="AG73" s="489">
        <v>311412</v>
      </c>
      <c r="AH73" s="489"/>
      <c r="AI73" s="489"/>
      <c r="AJ73" s="489"/>
      <c r="AK73" s="489"/>
    </row>
    <row r="74" spans="1:37" ht="12.75" customHeight="1">
      <c r="A74" s="487" t="s">
        <v>584</v>
      </c>
      <c r="B74" s="487"/>
      <c r="C74" s="487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487"/>
      <c r="Y74" s="487"/>
      <c r="Z74" s="484">
        <v>65</v>
      </c>
      <c r="AA74" s="484"/>
      <c r="AB74" s="489">
        <v>2228058</v>
      </c>
      <c r="AC74" s="489"/>
      <c r="AD74" s="489"/>
      <c r="AE74" s="489"/>
      <c r="AF74" s="489"/>
      <c r="AG74" s="489">
        <v>2176674</v>
      </c>
      <c r="AH74" s="489"/>
      <c r="AI74" s="489"/>
      <c r="AJ74" s="489"/>
      <c r="AK74" s="489"/>
    </row>
    <row r="75" spans="1:37" ht="12.75" customHeight="1">
      <c r="A75" s="480" t="s">
        <v>585</v>
      </c>
      <c r="B75" s="480"/>
      <c r="C75" s="480"/>
      <c r="D75" s="480"/>
      <c r="E75" s="480"/>
      <c r="F75" s="480"/>
      <c r="G75" s="480"/>
      <c r="H75" s="480"/>
      <c r="I75" s="480"/>
      <c r="J75" s="480"/>
      <c r="K75" s="480"/>
      <c r="L75" s="480"/>
      <c r="M75" s="480"/>
      <c r="N75" s="480"/>
      <c r="O75" s="480"/>
      <c r="P75" s="480"/>
      <c r="Q75" s="480"/>
      <c r="R75" s="480"/>
      <c r="S75" s="480"/>
      <c r="T75" s="480"/>
      <c r="U75" s="480"/>
      <c r="V75" s="480"/>
      <c r="W75" s="480"/>
      <c r="X75" s="480"/>
      <c r="Y75" s="480"/>
      <c r="Z75" s="481" t="s">
        <v>44</v>
      </c>
      <c r="AA75" s="481"/>
      <c r="AB75" s="482" t="s">
        <v>488</v>
      </c>
      <c r="AC75" s="482"/>
      <c r="AD75" s="482"/>
      <c r="AE75" s="482"/>
      <c r="AF75" s="482"/>
      <c r="AG75" s="482" t="s">
        <v>490</v>
      </c>
      <c r="AH75" s="482"/>
      <c r="AI75" s="482"/>
      <c r="AJ75" s="482"/>
      <c r="AK75" s="482"/>
    </row>
    <row r="76" spans="1:37" ht="15.75" customHeight="1">
      <c r="A76" s="480"/>
      <c r="B76" s="480"/>
      <c r="C76" s="480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80"/>
      <c r="R76" s="480"/>
      <c r="S76" s="480"/>
      <c r="T76" s="480"/>
      <c r="U76" s="480"/>
      <c r="V76" s="480"/>
      <c r="W76" s="480"/>
      <c r="X76" s="480"/>
      <c r="Y76" s="480"/>
      <c r="Z76" s="481"/>
      <c r="AA76" s="481"/>
      <c r="AB76" s="482" t="s">
        <v>518</v>
      </c>
      <c r="AC76" s="482"/>
      <c r="AD76" s="482"/>
      <c r="AE76" s="482"/>
      <c r="AF76" s="482"/>
      <c r="AG76" s="482"/>
      <c r="AH76" s="482"/>
      <c r="AI76" s="482"/>
      <c r="AJ76" s="482"/>
      <c r="AK76" s="482"/>
    </row>
    <row r="77" spans="1:37" ht="15.75" customHeight="1">
      <c r="A77" s="483" t="s">
        <v>519</v>
      </c>
      <c r="B77" s="483"/>
      <c r="C77" s="483"/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4">
        <v>2</v>
      </c>
      <c r="AA77" s="484"/>
      <c r="AB77" s="485">
        <v>3</v>
      </c>
      <c r="AC77" s="485"/>
      <c r="AD77" s="485"/>
      <c r="AE77" s="485"/>
      <c r="AF77" s="485"/>
      <c r="AG77" s="485">
        <v>4</v>
      </c>
      <c r="AH77" s="485"/>
      <c r="AI77" s="485"/>
      <c r="AJ77" s="485"/>
      <c r="AK77" s="485"/>
    </row>
    <row r="78" spans="1:37" ht="15.75" customHeight="1">
      <c r="A78" s="486" t="s">
        <v>586</v>
      </c>
      <c r="B78" s="486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486"/>
      <c r="X78" s="486"/>
      <c r="Y78" s="486"/>
      <c r="Z78" s="484">
        <v>66</v>
      </c>
      <c r="AA78" s="484"/>
      <c r="AB78" s="485">
        <v>113252</v>
      </c>
      <c r="AC78" s="485"/>
      <c r="AD78" s="485"/>
      <c r="AE78" s="485"/>
      <c r="AF78" s="485"/>
      <c r="AG78" s="485">
        <v>113252</v>
      </c>
      <c r="AH78" s="485"/>
      <c r="AI78" s="485"/>
      <c r="AJ78" s="485"/>
      <c r="AK78" s="485"/>
    </row>
    <row r="79" spans="1:37" ht="15.75" customHeight="1">
      <c r="A79" s="486" t="s">
        <v>587</v>
      </c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  <c r="W79" s="486"/>
      <c r="X79" s="486"/>
      <c r="Y79" s="486"/>
      <c r="Z79" s="484">
        <v>67</v>
      </c>
      <c r="AA79" s="484"/>
      <c r="AB79" s="485">
        <v>1222986</v>
      </c>
      <c r="AC79" s="485"/>
      <c r="AD79" s="485"/>
      <c r="AE79" s="485"/>
      <c r="AF79" s="485"/>
      <c r="AG79" s="485">
        <v>1264821</v>
      </c>
      <c r="AH79" s="485"/>
      <c r="AI79" s="485"/>
      <c r="AJ79" s="485"/>
      <c r="AK79" s="485"/>
    </row>
    <row r="80" spans="1:37" ht="15.75" customHeight="1">
      <c r="A80" s="486" t="s">
        <v>588</v>
      </c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  <c r="W80" s="486"/>
      <c r="X80" s="486"/>
      <c r="Y80" s="486"/>
      <c r="Z80" s="484">
        <v>68</v>
      </c>
      <c r="AA80" s="484"/>
      <c r="AB80" s="485">
        <v>0</v>
      </c>
      <c r="AC80" s="485"/>
      <c r="AD80" s="485"/>
      <c r="AE80" s="485"/>
      <c r="AF80" s="485"/>
      <c r="AG80" s="485">
        <v>0</v>
      </c>
      <c r="AH80" s="485"/>
      <c r="AI80" s="485"/>
      <c r="AJ80" s="485"/>
      <c r="AK80" s="485"/>
    </row>
    <row r="81" spans="1:37" ht="15.75" customHeight="1">
      <c r="A81" s="487" t="s">
        <v>589</v>
      </c>
      <c r="B81" s="487"/>
      <c r="C81" s="487"/>
      <c r="D81" s="487"/>
      <c r="E81" s="487"/>
      <c r="F81" s="487"/>
      <c r="G81" s="487"/>
      <c r="H81" s="487"/>
      <c r="I81" s="487"/>
      <c r="J81" s="487"/>
      <c r="K81" s="487"/>
      <c r="L81" s="487"/>
      <c r="M81" s="487"/>
      <c r="N81" s="487"/>
      <c r="O81" s="487"/>
      <c r="P81" s="487"/>
      <c r="Q81" s="487"/>
      <c r="R81" s="487"/>
      <c r="S81" s="487"/>
      <c r="T81" s="487"/>
      <c r="U81" s="487"/>
      <c r="V81" s="487"/>
      <c r="W81" s="487"/>
      <c r="X81" s="487"/>
      <c r="Y81" s="487"/>
      <c r="Z81" s="484">
        <v>69</v>
      </c>
      <c r="AA81" s="484"/>
      <c r="AB81" s="489">
        <v>1336238</v>
      </c>
      <c r="AC81" s="489"/>
      <c r="AD81" s="489"/>
      <c r="AE81" s="489"/>
      <c r="AF81" s="489"/>
      <c r="AG81" s="489">
        <v>1378073</v>
      </c>
      <c r="AH81" s="489"/>
      <c r="AI81" s="489"/>
      <c r="AJ81" s="489"/>
      <c r="AK81" s="489"/>
    </row>
    <row r="82" spans="1:37" ht="15.75" customHeight="1">
      <c r="A82" s="486" t="s">
        <v>590</v>
      </c>
      <c r="B82" s="486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486"/>
      <c r="O82" s="486"/>
      <c r="P82" s="486"/>
      <c r="Q82" s="486"/>
      <c r="R82" s="486"/>
      <c r="S82" s="486"/>
      <c r="T82" s="486"/>
      <c r="U82" s="486"/>
      <c r="V82" s="486"/>
      <c r="W82" s="486"/>
      <c r="X82" s="486"/>
      <c r="Y82" s="486"/>
      <c r="Z82" s="484">
        <v>70</v>
      </c>
      <c r="AA82" s="484"/>
      <c r="AB82" s="485">
        <v>284627</v>
      </c>
      <c r="AC82" s="485"/>
      <c r="AD82" s="485"/>
      <c r="AE82" s="485"/>
      <c r="AF82" s="485"/>
      <c r="AG82" s="485">
        <v>-2635</v>
      </c>
      <c r="AH82" s="485"/>
      <c r="AI82" s="485"/>
      <c r="AJ82" s="485"/>
      <c r="AK82" s="485"/>
    </row>
    <row r="83" spans="1:37" ht="15.75" customHeight="1">
      <c r="A83" s="486" t="s">
        <v>591</v>
      </c>
      <c r="B83" s="486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  <c r="T83" s="486"/>
      <c r="U83" s="486"/>
      <c r="V83" s="486"/>
      <c r="W83" s="486"/>
      <c r="X83" s="486"/>
      <c r="Y83" s="486"/>
      <c r="Z83" s="484">
        <v>71</v>
      </c>
      <c r="AA83" s="484"/>
      <c r="AB83" s="485">
        <v>284627</v>
      </c>
      <c r="AC83" s="485"/>
      <c r="AD83" s="485"/>
      <c r="AE83" s="485"/>
      <c r="AF83" s="485"/>
      <c r="AG83" s="485">
        <v>-2635</v>
      </c>
      <c r="AH83" s="485"/>
      <c r="AI83" s="485"/>
      <c r="AJ83" s="485"/>
      <c r="AK83" s="485"/>
    </row>
    <row r="84" spans="1:37" ht="15.75" customHeight="1">
      <c r="A84" s="486" t="s">
        <v>592</v>
      </c>
      <c r="B84" s="486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486"/>
      <c r="O84" s="486"/>
      <c r="P84" s="486"/>
      <c r="Q84" s="486"/>
      <c r="R84" s="486"/>
      <c r="S84" s="486"/>
      <c r="T84" s="486"/>
      <c r="U84" s="486"/>
      <c r="V84" s="486"/>
      <c r="W84" s="486"/>
      <c r="X84" s="486"/>
      <c r="Y84" s="486"/>
      <c r="Z84" s="484">
        <v>72</v>
      </c>
      <c r="AA84" s="484"/>
      <c r="AB84" s="485">
        <v>0</v>
      </c>
      <c r="AC84" s="485"/>
      <c r="AD84" s="485"/>
      <c r="AE84" s="485"/>
      <c r="AF84" s="485"/>
      <c r="AG84" s="485">
        <v>0</v>
      </c>
      <c r="AH84" s="485"/>
      <c r="AI84" s="485"/>
      <c r="AJ84" s="485"/>
      <c r="AK84" s="485"/>
    </row>
    <row r="85" spans="1:37" ht="15.75" customHeight="1">
      <c r="A85" s="486" t="s">
        <v>593</v>
      </c>
      <c r="B85" s="486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486"/>
      <c r="O85" s="486"/>
      <c r="P85" s="486"/>
      <c r="Q85" s="486"/>
      <c r="R85" s="486"/>
      <c r="S85" s="486"/>
      <c r="T85" s="486"/>
      <c r="U85" s="486"/>
      <c r="V85" s="486"/>
      <c r="W85" s="486"/>
      <c r="X85" s="486"/>
      <c r="Y85" s="486"/>
      <c r="Z85" s="484">
        <v>73</v>
      </c>
      <c r="AA85" s="484"/>
      <c r="AB85" s="485">
        <v>144</v>
      </c>
      <c r="AC85" s="485"/>
      <c r="AD85" s="485"/>
      <c r="AE85" s="485"/>
      <c r="AF85" s="485"/>
      <c r="AG85" s="485">
        <v>204238</v>
      </c>
      <c r="AH85" s="485"/>
      <c r="AI85" s="485"/>
      <c r="AJ85" s="485"/>
      <c r="AK85" s="485"/>
    </row>
    <row r="86" spans="1:37" ht="15.75" customHeight="1">
      <c r="A86" s="486" t="s">
        <v>594</v>
      </c>
      <c r="B86" s="486"/>
      <c r="C86" s="486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486"/>
      <c r="O86" s="486"/>
      <c r="P86" s="486"/>
      <c r="Q86" s="486"/>
      <c r="R86" s="486"/>
      <c r="S86" s="486"/>
      <c r="T86" s="486"/>
      <c r="U86" s="486"/>
      <c r="V86" s="486"/>
      <c r="W86" s="486"/>
      <c r="X86" s="486"/>
      <c r="Y86" s="486"/>
      <c r="Z86" s="484">
        <v>74</v>
      </c>
      <c r="AA86" s="484"/>
      <c r="AB86" s="485">
        <v>0</v>
      </c>
      <c r="AC86" s="485"/>
      <c r="AD86" s="485"/>
      <c r="AE86" s="485"/>
      <c r="AF86" s="485"/>
      <c r="AG86" s="485">
        <v>0</v>
      </c>
      <c r="AH86" s="485"/>
      <c r="AI86" s="485"/>
      <c r="AJ86" s="485"/>
      <c r="AK86" s="485"/>
    </row>
    <row r="87" spans="1:37" ht="15.75" customHeight="1">
      <c r="A87" s="486" t="s">
        <v>595</v>
      </c>
      <c r="B87" s="486"/>
      <c r="C87" s="486"/>
      <c r="D87" s="486"/>
      <c r="E87" s="486"/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4">
        <v>75</v>
      </c>
      <c r="AA87" s="484"/>
      <c r="AB87" s="485">
        <v>0</v>
      </c>
      <c r="AC87" s="485"/>
      <c r="AD87" s="485"/>
      <c r="AE87" s="485"/>
      <c r="AF87" s="485"/>
      <c r="AG87" s="485">
        <v>0</v>
      </c>
      <c r="AH87" s="485"/>
      <c r="AI87" s="485"/>
      <c r="AJ87" s="485"/>
      <c r="AK87" s="485"/>
    </row>
    <row r="88" spans="1:37" ht="15.75" customHeight="1">
      <c r="A88" s="486" t="s">
        <v>596</v>
      </c>
      <c r="B88" s="486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486"/>
      <c r="X88" s="486"/>
      <c r="Y88" s="486"/>
      <c r="Z88" s="484">
        <v>76</v>
      </c>
      <c r="AA88" s="484"/>
      <c r="AB88" s="485">
        <v>0</v>
      </c>
      <c r="AC88" s="485"/>
      <c r="AD88" s="485"/>
      <c r="AE88" s="485"/>
      <c r="AF88" s="485"/>
      <c r="AG88" s="485">
        <v>0</v>
      </c>
      <c r="AH88" s="485"/>
      <c r="AI88" s="485"/>
      <c r="AJ88" s="485"/>
      <c r="AK88" s="485"/>
    </row>
    <row r="89" spans="1:37" ht="15.75" customHeight="1">
      <c r="A89" s="487" t="s">
        <v>597</v>
      </c>
      <c r="B89" s="487"/>
      <c r="C89" s="487"/>
      <c r="D89" s="487"/>
      <c r="E89" s="487"/>
      <c r="F89" s="487"/>
      <c r="G89" s="487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484">
        <v>77</v>
      </c>
      <c r="AA89" s="484"/>
      <c r="AB89" s="489">
        <v>284771</v>
      </c>
      <c r="AC89" s="489"/>
      <c r="AD89" s="489"/>
      <c r="AE89" s="489"/>
      <c r="AF89" s="489"/>
      <c r="AG89" s="489">
        <v>201603</v>
      </c>
      <c r="AH89" s="489"/>
      <c r="AI89" s="489"/>
      <c r="AJ89" s="489"/>
      <c r="AK89" s="489"/>
    </row>
    <row r="90" spans="1:37" ht="15.75" customHeight="1">
      <c r="A90" s="486" t="s">
        <v>598</v>
      </c>
      <c r="B90" s="486"/>
      <c r="C90" s="486"/>
      <c r="D90" s="486"/>
      <c r="E90" s="486"/>
      <c r="F90" s="486"/>
      <c r="G90" s="486"/>
      <c r="H90" s="486"/>
      <c r="I90" s="486"/>
      <c r="J90" s="486"/>
      <c r="K90" s="486"/>
      <c r="L90" s="486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486"/>
      <c r="X90" s="486"/>
      <c r="Y90" s="486"/>
      <c r="Z90" s="484">
        <v>78</v>
      </c>
      <c r="AA90" s="484"/>
      <c r="AB90" s="485">
        <v>0</v>
      </c>
      <c r="AC90" s="485"/>
      <c r="AD90" s="485"/>
      <c r="AE90" s="485"/>
      <c r="AF90" s="485"/>
      <c r="AG90" s="485">
        <v>0</v>
      </c>
      <c r="AH90" s="485"/>
      <c r="AI90" s="485"/>
      <c r="AJ90" s="485"/>
      <c r="AK90" s="485"/>
    </row>
    <row r="91" spans="1:37" ht="15.75" customHeight="1">
      <c r="A91" s="486" t="s">
        <v>599</v>
      </c>
      <c r="B91" s="486"/>
      <c r="C91" s="486"/>
      <c r="D91" s="486"/>
      <c r="E91" s="486"/>
      <c r="F91" s="486"/>
      <c r="G91" s="486"/>
      <c r="H91" s="486"/>
      <c r="I91" s="486"/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6"/>
      <c r="W91" s="486"/>
      <c r="X91" s="486"/>
      <c r="Y91" s="486"/>
      <c r="Z91" s="484">
        <v>79</v>
      </c>
      <c r="AA91" s="484"/>
      <c r="AB91" s="485">
        <v>0</v>
      </c>
      <c r="AC91" s="485"/>
      <c r="AD91" s="485"/>
      <c r="AE91" s="485"/>
      <c r="AF91" s="485"/>
      <c r="AG91" s="485">
        <v>0</v>
      </c>
      <c r="AH91" s="485"/>
      <c r="AI91" s="485"/>
      <c r="AJ91" s="485"/>
      <c r="AK91" s="485"/>
    </row>
    <row r="92" spans="1:37" ht="15.75" customHeight="1">
      <c r="A92" s="486" t="s">
        <v>600</v>
      </c>
      <c r="B92" s="486"/>
      <c r="C92" s="486"/>
      <c r="D92" s="486"/>
      <c r="E92" s="486"/>
      <c r="F92" s="486"/>
      <c r="G92" s="486"/>
      <c r="H92" s="486"/>
      <c r="I92" s="486"/>
      <c r="J92" s="486"/>
      <c r="K92" s="486"/>
      <c r="L92" s="486"/>
      <c r="M92" s="486"/>
      <c r="N92" s="486"/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86"/>
      <c r="Z92" s="484">
        <v>80</v>
      </c>
      <c r="AA92" s="484"/>
      <c r="AB92" s="485">
        <v>0</v>
      </c>
      <c r="AC92" s="485"/>
      <c r="AD92" s="485"/>
      <c r="AE92" s="485"/>
      <c r="AF92" s="485"/>
      <c r="AG92" s="485">
        <v>0</v>
      </c>
      <c r="AH92" s="485"/>
      <c r="AI92" s="485"/>
      <c r="AJ92" s="485"/>
      <c r="AK92" s="485"/>
    </row>
    <row r="93" spans="1:37" ht="15.75" customHeight="1">
      <c r="A93" s="486" t="s">
        <v>601</v>
      </c>
      <c r="B93" s="486"/>
      <c r="C93" s="486"/>
      <c r="D93" s="486"/>
      <c r="E93" s="486"/>
      <c r="F93" s="486"/>
      <c r="G93" s="486"/>
      <c r="H93" s="486"/>
      <c r="I93" s="486"/>
      <c r="J93" s="486"/>
      <c r="K93" s="486"/>
      <c r="L93" s="486"/>
      <c r="M93" s="486"/>
      <c r="N93" s="486"/>
      <c r="O93" s="486"/>
      <c r="P93" s="486"/>
      <c r="Q93" s="486"/>
      <c r="R93" s="486"/>
      <c r="S93" s="486"/>
      <c r="T93" s="486"/>
      <c r="U93" s="486"/>
      <c r="V93" s="486"/>
      <c r="W93" s="486"/>
      <c r="X93" s="486"/>
      <c r="Y93" s="486"/>
      <c r="Z93" s="484">
        <v>81</v>
      </c>
      <c r="AA93" s="484"/>
      <c r="AB93" s="485">
        <v>0</v>
      </c>
      <c r="AC93" s="485"/>
      <c r="AD93" s="485"/>
      <c r="AE93" s="485"/>
      <c r="AF93" s="485"/>
      <c r="AG93" s="485">
        <v>0</v>
      </c>
      <c r="AH93" s="485"/>
      <c r="AI93" s="485"/>
      <c r="AJ93" s="485"/>
      <c r="AK93" s="485"/>
    </row>
    <row r="94" spans="1:37" ht="15.75" customHeight="1">
      <c r="A94" s="486" t="s">
        <v>602</v>
      </c>
      <c r="B94" s="486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4">
        <v>82</v>
      </c>
      <c r="AA94" s="484"/>
      <c r="AB94" s="485">
        <v>0</v>
      </c>
      <c r="AC94" s="485"/>
      <c r="AD94" s="485"/>
      <c r="AE94" s="485"/>
      <c r="AF94" s="485"/>
      <c r="AG94" s="485">
        <v>0</v>
      </c>
      <c r="AH94" s="485"/>
      <c r="AI94" s="485"/>
      <c r="AJ94" s="485"/>
      <c r="AK94" s="485"/>
    </row>
    <row r="95" spans="1:37" ht="15.75" customHeight="1">
      <c r="A95" s="486" t="s">
        <v>603</v>
      </c>
      <c r="B95" s="486"/>
      <c r="C95" s="486"/>
      <c r="D95" s="486"/>
      <c r="E95" s="486"/>
      <c r="F95" s="486"/>
      <c r="G95" s="486"/>
      <c r="H95" s="486"/>
      <c r="I95" s="486"/>
      <c r="J95" s="486"/>
      <c r="K95" s="486"/>
      <c r="L95" s="486"/>
      <c r="M95" s="486"/>
      <c r="N95" s="486"/>
      <c r="O95" s="486"/>
      <c r="P95" s="486"/>
      <c r="Q95" s="486"/>
      <c r="R95" s="486"/>
      <c r="S95" s="486"/>
      <c r="T95" s="486"/>
      <c r="U95" s="486"/>
      <c r="V95" s="486"/>
      <c r="W95" s="486"/>
      <c r="X95" s="486"/>
      <c r="Y95" s="486"/>
      <c r="Z95" s="484">
        <v>83</v>
      </c>
      <c r="AA95" s="484"/>
      <c r="AB95" s="485">
        <v>0</v>
      </c>
      <c r="AC95" s="485"/>
      <c r="AD95" s="485"/>
      <c r="AE95" s="485"/>
      <c r="AF95" s="485"/>
      <c r="AG95" s="485">
        <v>0</v>
      </c>
      <c r="AH95" s="485"/>
      <c r="AI95" s="485"/>
      <c r="AJ95" s="485"/>
      <c r="AK95" s="485"/>
    </row>
    <row r="96" spans="1:37" ht="15.75" customHeight="1">
      <c r="A96" s="487" t="s">
        <v>604</v>
      </c>
      <c r="B96" s="487"/>
      <c r="C96" s="487"/>
      <c r="D96" s="487"/>
      <c r="E96" s="487"/>
      <c r="F96" s="487"/>
      <c r="G96" s="487"/>
      <c r="H96" s="487"/>
      <c r="I96" s="487"/>
      <c r="J96" s="487"/>
      <c r="K96" s="487"/>
      <c r="L96" s="487"/>
      <c r="M96" s="487"/>
      <c r="N96" s="487"/>
      <c r="O96" s="487"/>
      <c r="P96" s="487"/>
      <c r="Q96" s="487"/>
      <c r="R96" s="487"/>
      <c r="S96" s="487"/>
      <c r="T96" s="487"/>
      <c r="U96" s="487"/>
      <c r="V96" s="487"/>
      <c r="W96" s="487"/>
      <c r="X96" s="487"/>
      <c r="Y96" s="487"/>
      <c r="Z96" s="484">
        <v>84</v>
      </c>
      <c r="AA96" s="484"/>
      <c r="AB96" s="489">
        <v>0</v>
      </c>
      <c r="AC96" s="489"/>
      <c r="AD96" s="489"/>
      <c r="AE96" s="489"/>
      <c r="AF96" s="489"/>
      <c r="AG96" s="489">
        <v>0</v>
      </c>
      <c r="AH96" s="489"/>
      <c r="AI96" s="489"/>
      <c r="AJ96" s="489"/>
      <c r="AK96" s="489"/>
    </row>
    <row r="97" spans="1:37" ht="15.75" customHeight="1">
      <c r="A97" s="487" t="s">
        <v>605</v>
      </c>
      <c r="B97" s="487"/>
      <c r="C97" s="487"/>
      <c r="D97" s="487"/>
      <c r="E97" s="487"/>
      <c r="F97" s="487"/>
      <c r="G97" s="487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7"/>
      <c r="W97" s="487"/>
      <c r="X97" s="487"/>
      <c r="Y97" s="487"/>
      <c r="Z97" s="484">
        <v>85</v>
      </c>
      <c r="AA97" s="484"/>
      <c r="AB97" s="489">
        <v>284771</v>
      </c>
      <c r="AC97" s="489"/>
      <c r="AD97" s="489"/>
      <c r="AE97" s="489"/>
      <c r="AF97" s="489"/>
      <c r="AG97" s="489">
        <v>201603</v>
      </c>
      <c r="AH97" s="489"/>
      <c r="AI97" s="489"/>
      <c r="AJ97" s="489"/>
      <c r="AK97" s="489"/>
    </row>
    <row r="98" spans="1:37" ht="15.75" customHeight="1">
      <c r="A98" s="486" t="s">
        <v>606</v>
      </c>
      <c r="B98" s="486"/>
      <c r="C98" s="486"/>
      <c r="D98" s="486"/>
      <c r="E98" s="486"/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/>
      <c r="V98" s="486"/>
      <c r="W98" s="486"/>
      <c r="X98" s="486"/>
      <c r="Y98" s="486"/>
      <c r="Z98" s="484">
        <v>86</v>
      </c>
      <c r="AA98" s="484"/>
      <c r="AB98" s="485">
        <v>0</v>
      </c>
      <c r="AC98" s="485"/>
      <c r="AD98" s="485"/>
      <c r="AE98" s="485"/>
      <c r="AF98" s="485"/>
      <c r="AG98" s="485">
        <v>0</v>
      </c>
      <c r="AH98" s="485"/>
      <c r="AI98" s="485"/>
      <c r="AJ98" s="485"/>
      <c r="AK98" s="485"/>
    </row>
    <row r="99" spans="1:37" ht="15.75" customHeight="1">
      <c r="A99" s="486" t="s">
        <v>607</v>
      </c>
      <c r="B99" s="486"/>
      <c r="C99" s="486"/>
      <c r="D99" s="486"/>
      <c r="E99" s="486"/>
      <c r="F99" s="486"/>
      <c r="G99" s="486"/>
      <c r="H99" s="486"/>
      <c r="I99" s="486"/>
      <c r="J99" s="486"/>
      <c r="K99" s="486"/>
      <c r="L99" s="486"/>
      <c r="M99" s="486"/>
      <c r="N99" s="486"/>
      <c r="O99" s="486"/>
      <c r="P99" s="486"/>
      <c r="Q99" s="486"/>
      <c r="R99" s="486"/>
      <c r="S99" s="486"/>
      <c r="T99" s="486"/>
      <c r="U99" s="486"/>
      <c r="V99" s="486"/>
      <c r="W99" s="486"/>
      <c r="X99" s="486"/>
      <c r="Y99" s="486"/>
      <c r="Z99" s="484">
        <v>87</v>
      </c>
      <c r="AA99" s="484"/>
      <c r="AB99" s="485">
        <v>342829</v>
      </c>
      <c r="AC99" s="485"/>
      <c r="AD99" s="485"/>
      <c r="AE99" s="485"/>
      <c r="AF99" s="485"/>
      <c r="AG99" s="485">
        <v>351623</v>
      </c>
      <c r="AH99" s="485"/>
      <c r="AI99" s="485"/>
      <c r="AJ99" s="485"/>
      <c r="AK99" s="485"/>
    </row>
    <row r="100" spans="1:37" ht="15.75" customHeight="1">
      <c r="A100" s="486" t="s">
        <v>608</v>
      </c>
      <c r="B100" s="486"/>
      <c r="C100" s="486"/>
      <c r="D100" s="486"/>
      <c r="E100" s="486"/>
      <c r="F100" s="486"/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4">
        <v>88</v>
      </c>
      <c r="AA100" s="484"/>
      <c r="AB100" s="485">
        <v>0</v>
      </c>
      <c r="AC100" s="485"/>
      <c r="AD100" s="485"/>
      <c r="AE100" s="485"/>
      <c r="AF100" s="485"/>
      <c r="AG100" s="485">
        <v>0</v>
      </c>
      <c r="AH100" s="485"/>
      <c r="AI100" s="485"/>
      <c r="AJ100" s="485"/>
      <c r="AK100" s="485"/>
    </row>
    <row r="101" spans="1:37" ht="15.75" customHeight="1">
      <c r="A101" s="486" t="s">
        <v>609</v>
      </c>
      <c r="B101" s="486"/>
      <c r="C101" s="486"/>
      <c r="D101" s="486"/>
      <c r="E101" s="486"/>
      <c r="F101" s="486"/>
      <c r="G101" s="486"/>
      <c r="H101" s="486"/>
      <c r="I101" s="486"/>
      <c r="J101" s="486"/>
      <c r="K101" s="486"/>
      <c r="L101" s="486"/>
      <c r="M101" s="486"/>
      <c r="N101" s="486"/>
      <c r="O101" s="486"/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4">
        <v>89</v>
      </c>
      <c r="AA101" s="484"/>
      <c r="AB101" s="485">
        <v>86319</v>
      </c>
      <c r="AC101" s="485"/>
      <c r="AD101" s="485"/>
      <c r="AE101" s="485"/>
      <c r="AF101" s="485"/>
      <c r="AG101" s="485">
        <v>79536</v>
      </c>
      <c r="AH101" s="485"/>
      <c r="AI101" s="485"/>
      <c r="AJ101" s="485"/>
      <c r="AK101" s="485"/>
    </row>
    <row r="102" spans="1:37" ht="15.75" customHeight="1">
      <c r="A102" s="486" t="s">
        <v>610</v>
      </c>
      <c r="B102" s="486"/>
      <c r="C102" s="486"/>
      <c r="D102" s="486"/>
      <c r="E102" s="486"/>
      <c r="F102" s="486"/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6"/>
      <c r="R102" s="486"/>
      <c r="S102" s="486"/>
      <c r="T102" s="486"/>
      <c r="U102" s="486"/>
      <c r="V102" s="486"/>
      <c r="W102" s="486"/>
      <c r="X102" s="486"/>
      <c r="Y102" s="486"/>
      <c r="Z102" s="484">
        <v>90</v>
      </c>
      <c r="AA102" s="484"/>
      <c r="AB102" s="485">
        <v>0</v>
      </c>
      <c r="AC102" s="485"/>
      <c r="AD102" s="485"/>
      <c r="AE102" s="485"/>
      <c r="AF102" s="485"/>
      <c r="AG102" s="485">
        <v>0</v>
      </c>
      <c r="AH102" s="485"/>
      <c r="AI102" s="485"/>
      <c r="AJ102" s="485"/>
      <c r="AK102" s="485"/>
    </row>
    <row r="103" spans="1:37" ht="15.75" customHeight="1">
      <c r="A103" s="486" t="s">
        <v>611</v>
      </c>
      <c r="B103" s="486"/>
      <c r="C103" s="486"/>
      <c r="D103" s="486"/>
      <c r="E103" s="486"/>
      <c r="F103" s="486"/>
      <c r="G103" s="486"/>
      <c r="H103" s="486"/>
      <c r="I103" s="486"/>
      <c r="J103" s="486"/>
      <c r="K103" s="486"/>
      <c r="L103" s="486"/>
      <c r="M103" s="486"/>
      <c r="N103" s="486"/>
      <c r="O103" s="486"/>
      <c r="P103" s="486"/>
      <c r="Q103" s="486"/>
      <c r="R103" s="486"/>
      <c r="S103" s="486"/>
      <c r="T103" s="486"/>
      <c r="U103" s="486"/>
      <c r="V103" s="486"/>
      <c r="W103" s="486"/>
      <c r="X103" s="486"/>
      <c r="Y103" s="486"/>
      <c r="Z103" s="484">
        <v>91</v>
      </c>
      <c r="AA103" s="484"/>
      <c r="AB103" s="485">
        <v>0</v>
      </c>
      <c r="AC103" s="485"/>
      <c r="AD103" s="485"/>
      <c r="AE103" s="485"/>
      <c r="AF103" s="485"/>
      <c r="AG103" s="485">
        <v>0</v>
      </c>
      <c r="AH103" s="485"/>
      <c r="AI103" s="485"/>
      <c r="AJ103" s="485"/>
      <c r="AK103" s="485"/>
    </row>
    <row r="104" spans="1:37" ht="15.75" customHeight="1">
      <c r="A104" s="487" t="s">
        <v>612</v>
      </c>
      <c r="B104" s="487"/>
      <c r="C104" s="487"/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  <c r="Y104" s="487"/>
      <c r="Z104" s="484">
        <v>92</v>
      </c>
      <c r="AA104" s="484"/>
      <c r="AB104" s="489">
        <v>429148</v>
      </c>
      <c r="AC104" s="489"/>
      <c r="AD104" s="489"/>
      <c r="AE104" s="489"/>
      <c r="AF104" s="489"/>
      <c r="AG104" s="489">
        <v>431159</v>
      </c>
      <c r="AH104" s="489"/>
      <c r="AI104" s="489"/>
      <c r="AJ104" s="489"/>
      <c r="AK104" s="489"/>
    </row>
    <row r="105" spans="1:37" ht="15.75" customHeight="1">
      <c r="A105" s="486" t="s">
        <v>613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6"/>
      <c r="V105" s="486"/>
      <c r="W105" s="486"/>
      <c r="X105" s="486"/>
      <c r="Y105" s="486"/>
      <c r="Z105" s="484">
        <v>93</v>
      </c>
      <c r="AA105" s="484"/>
      <c r="AB105" s="485">
        <v>0</v>
      </c>
      <c r="AC105" s="485"/>
      <c r="AD105" s="485"/>
      <c r="AE105" s="485"/>
      <c r="AF105" s="485"/>
      <c r="AG105" s="485">
        <v>0</v>
      </c>
      <c r="AH105" s="485"/>
      <c r="AI105" s="485"/>
      <c r="AJ105" s="485"/>
      <c r="AK105" s="485"/>
    </row>
    <row r="106" spans="1:37" ht="15.75" customHeight="1">
      <c r="A106" s="486" t="s">
        <v>614</v>
      </c>
      <c r="B106" s="486"/>
      <c r="C106" s="486"/>
      <c r="D106" s="486"/>
      <c r="E106" s="486"/>
      <c r="F106" s="486"/>
      <c r="G106" s="486"/>
      <c r="H106" s="486"/>
      <c r="I106" s="486"/>
      <c r="J106" s="486"/>
      <c r="K106" s="486"/>
      <c r="L106" s="486"/>
      <c r="M106" s="486"/>
      <c r="N106" s="486"/>
      <c r="O106" s="486"/>
      <c r="P106" s="486"/>
      <c r="Q106" s="486"/>
      <c r="R106" s="486"/>
      <c r="S106" s="486"/>
      <c r="T106" s="486"/>
      <c r="U106" s="486"/>
      <c r="V106" s="486"/>
      <c r="W106" s="486"/>
      <c r="X106" s="486"/>
      <c r="Y106" s="486"/>
      <c r="Z106" s="484">
        <v>94</v>
      </c>
      <c r="AA106" s="484"/>
      <c r="AB106" s="485">
        <v>39582</v>
      </c>
      <c r="AC106" s="485"/>
      <c r="AD106" s="485"/>
      <c r="AE106" s="485"/>
      <c r="AF106" s="485"/>
      <c r="AG106" s="485">
        <v>48406</v>
      </c>
      <c r="AH106" s="485"/>
      <c r="AI106" s="485"/>
      <c r="AJ106" s="485"/>
      <c r="AK106" s="485"/>
    </row>
    <row r="107" spans="1:37" ht="15.75" customHeight="1">
      <c r="A107" s="486" t="s">
        <v>615</v>
      </c>
      <c r="B107" s="486"/>
      <c r="C107" s="486"/>
      <c r="D107" s="486"/>
      <c r="E107" s="486"/>
      <c r="F107" s="486"/>
      <c r="G107" s="486"/>
      <c r="H107" s="486"/>
      <c r="I107" s="486"/>
      <c r="J107" s="486"/>
      <c r="K107" s="486"/>
      <c r="L107" s="486"/>
      <c r="M107" s="486"/>
      <c r="N107" s="486"/>
      <c r="O107" s="486"/>
      <c r="P107" s="486"/>
      <c r="Q107" s="486"/>
      <c r="R107" s="486"/>
      <c r="S107" s="486"/>
      <c r="T107" s="486"/>
      <c r="U107" s="486"/>
      <c r="V107" s="486"/>
      <c r="W107" s="486"/>
      <c r="X107" s="486"/>
      <c r="Y107" s="486"/>
      <c r="Z107" s="484">
        <v>95</v>
      </c>
      <c r="AA107" s="484"/>
      <c r="AB107" s="485">
        <v>0</v>
      </c>
      <c r="AC107" s="485"/>
      <c r="AD107" s="485"/>
      <c r="AE107" s="485"/>
      <c r="AF107" s="485"/>
      <c r="AG107" s="485">
        <v>48406</v>
      </c>
      <c r="AH107" s="485"/>
      <c r="AI107" s="485"/>
      <c r="AJ107" s="485"/>
      <c r="AK107" s="485"/>
    </row>
    <row r="108" spans="1:37" ht="15.75" customHeight="1">
      <c r="A108" s="486" t="s">
        <v>616</v>
      </c>
      <c r="B108" s="486"/>
      <c r="C108" s="486"/>
      <c r="D108" s="486"/>
      <c r="E108" s="486"/>
      <c r="F108" s="486"/>
      <c r="G108" s="486"/>
      <c r="H108" s="486"/>
      <c r="I108" s="486"/>
      <c r="J108" s="486"/>
      <c r="K108" s="486"/>
      <c r="L108" s="486"/>
      <c r="M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486"/>
      <c r="X108" s="486"/>
      <c r="Y108" s="486"/>
      <c r="Z108" s="484">
        <v>96</v>
      </c>
      <c r="AA108" s="484"/>
      <c r="AB108" s="485">
        <v>36683</v>
      </c>
      <c r="AC108" s="485"/>
      <c r="AD108" s="485"/>
      <c r="AE108" s="485"/>
      <c r="AF108" s="485"/>
      <c r="AG108" s="485">
        <v>58001</v>
      </c>
      <c r="AH108" s="485"/>
      <c r="AI108" s="485"/>
      <c r="AJ108" s="485"/>
      <c r="AK108" s="485"/>
    </row>
    <row r="109" spans="1:37" ht="15.75" customHeight="1">
      <c r="A109" s="486" t="s">
        <v>617</v>
      </c>
      <c r="B109" s="486"/>
      <c r="C109" s="486"/>
      <c r="D109" s="486"/>
      <c r="E109" s="486"/>
      <c r="F109" s="486"/>
      <c r="G109" s="486"/>
      <c r="H109" s="486"/>
      <c r="I109" s="486"/>
      <c r="J109" s="486"/>
      <c r="K109" s="486"/>
      <c r="L109" s="486"/>
      <c r="M109" s="486"/>
      <c r="N109" s="486"/>
      <c r="O109" s="486"/>
      <c r="P109" s="486"/>
      <c r="Q109" s="486"/>
      <c r="R109" s="486"/>
      <c r="S109" s="486"/>
      <c r="T109" s="486"/>
      <c r="U109" s="486"/>
      <c r="V109" s="486"/>
      <c r="W109" s="486"/>
      <c r="X109" s="486"/>
      <c r="Y109" s="486"/>
      <c r="Z109" s="484">
        <v>97</v>
      </c>
      <c r="AA109" s="484"/>
      <c r="AB109" s="485">
        <v>32741</v>
      </c>
      <c r="AC109" s="485"/>
      <c r="AD109" s="485"/>
      <c r="AE109" s="485"/>
      <c r="AF109" s="485"/>
      <c r="AG109" s="485">
        <v>53630</v>
      </c>
      <c r="AH109" s="485"/>
      <c r="AI109" s="485"/>
      <c r="AJ109" s="485"/>
      <c r="AK109" s="485"/>
    </row>
    <row r="110" spans="1:37" ht="15.75" customHeight="1">
      <c r="A110" s="486" t="s">
        <v>618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486"/>
      <c r="X110" s="486"/>
      <c r="Y110" s="486"/>
      <c r="Z110" s="484">
        <v>98</v>
      </c>
      <c r="AA110" s="484"/>
      <c r="AB110" s="485">
        <v>3942</v>
      </c>
      <c r="AC110" s="485"/>
      <c r="AD110" s="485"/>
      <c r="AE110" s="485"/>
      <c r="AF110" s="485"/>
      <c r="AG110" s="485">
        <v>4371</v>
      </c>
      <c r="AH110" s="485"/>
      <c r="AI110" s="485"/>
      <c r="AJ110" s="485"/>
      <c r="AK110" s="485"/>
    </row>
    <row r="111" spans="1:37" ht="15.75" customHeight="1">
      <c r="A111" s="486" t="s">
        <v>619</v>
      </c>
      <c r="B111" s="486"/>
      <c r="C111" s="486"/>
      <c r="D111" s="486"/>
      <c r="E111" s="486"/>
      <c r="F111" s="486"/>
      <c r="G111" s="486"/>
      <c r="H111" s="486"/>
      <c r="I111" s="486"/>
      <c r="J111" s="486"/>
      <c r="K111" s="486"/>
      <c r="L111" s="486"/>
      <c r="M111" s="486"/>
      <c r="N111" s="486"/>
      <c r="O111" s="486"/>
      <c r="P111" s="486"/>
      <c r="Q111" s="486"/>
      <c r="R111" s="486"/>
      <c r="S111" s="486"/>
      <c r="T111" s="486"/>
      <c r="U111" s="486"/>
      <c r="V111" s="486"/>
      <c r="W111" s="486"/>
      <c r="X111" s="486"/>
      <c r="Y111" s="486"/>
      <c r="Z111" s="484">
        <v>99</v>
      </c>
      <c r="AA111" s="484"/>
      <c r="AB111" s="485">
        <v>57267</v>
      </c>
      <c r="AC111" s="485"/>
      <c r="AD111" s="485"/>
      <c r="AE111" s="485"/>
      <c r="AF111" s="485"/>
      <c r="AG111" s="485">
        <v>18813</v>
      </c>
      <c r="AH111" s="485"/>
      <c r="AI111" s="485"/>
      <c r="AJ111" s="485"/>
      <c r="AK111" s="485"/>
    </row>
    <row r="112" spans="1:37" ht="15.75" customHeight="1">
      <c r="A112" s="486" t="s">
        <v>620</v>
      </c>
      <c r="B112" s="486"/>
      <c r="C112" s="486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Z112" s="484">
        <v>100</v>
      </c>
      <c r="AA112" s="484"/>
      <c r="AB112" s="485">
        <v>0</v>
      </c>
      <c r="AC112" s="485"/>
      <c r="AD112" s="485"/>
      <c r="AE112" s="485"/>
      <c r="AF112" s="485"/>
      <c r="AG112" s="485">
        <v>0</v>
      </c>
      <c r="AH112" s="485"/>
      <c r="AI112" s="485"/>
      <c r="AJ112" s="485"/>
      <c r="AK112" s="485"/>
    </row>
    <row r="113" spans="1:37" ht="15.75" customHeight="1">
      <c r="A113" s="486" t="s">
        <v>621</v>
      </c>
      <c r="B113" s="486"/>
      <c r="C113" s="486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6"/>
      <c r="V113" s="486"/>
      <c r="W113" s="486"/>
      <c r="X113" s="486"/>
      <c r="Y113" s="486"/>
      <c r="Z113" s="484">
        <v>101</v>
      </c>
      <c r="AA113" s="484"/>
      <c r="AB113" s="485">
        <v>0</v>
      </c>
      <c r="AC113" s="485"/>
      <c r="AD113" s="485"/>
      <c r="AE113" s="485"/>
      <c r="AF113" s="485"/>
      <c r="AG113" s="485">
        <v>0</v>
      </c>
      <c r="AH113" s="485"/>
      <c r="AI113" s="485"/>
      <c r="AJ113" s="485"/>
      <c r="AK113" s="485"/>
    </row>
    <row r="114" spans="1:37" ht="15.75" customHeight="1">
      <c r="A114" s="486" t="s">
        <v>622</v>
      </c>
      <c r="B114" s="486"/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6"/>
      <c r="V114" s="486"/>
      <c r="W114" s="486"/>
      <c r="X114" s="486"/>
      <c r="Y114" s="486"/>
      <c r="Z114" s="484">
        <v>102</v>
      </c>
      <c r="AA114" s="484"/>
      <c r="AB114" s="485">
        <v>0</v>
      </c>
      <c r="AC114" s="485"/>
      <c r="AD114" s="485"/>
      <c r="AE114" s="485"/>
      <c r="AF114" s="485"/>
      <c r="AG114" s="485">
        <v>0</v>
      </c>
      <c r="AH114" s="485"/>
      <c r="AI114" s="485"/>
      <c r="AJ114" s="485"/>
      <c r="AK114" s="485"/>
    </row>
    <row r="115" spans="1:37" ht="15.75" customHeight="1">
      <c r="A115" s="486" t="s">
        <v>623</v>
      </c>
      <c r="B115" s="486"/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  <c r="R115" s="486"/>
      <c r="S115" s="486"/>
      <c r="T115" s="486"/>
      <c r="U115" s="486"/>
      <c r="V115" s="486"/>
      <c r="W115" s="486"/>
      <c r="X115" s="486"/>
      <c r="Y115" s="486"/>
      <c r="Z115" s="484">
        <v>103</v>
      </c>
      <c r="AA115" s="484"/>
      <c r="AB115" s="485">
        <v>14027</v>
      </c>
      <c r="AC115" s="485"/>
      <c r="AD115" s="485"/>
      <c r="AE115" s="485"/>
      <c r="AF115" s="485"/>
      <c r="AG115" s="485">
        <v>2593</v>
      </c>
      <c r="AH115" s="485"/>
      <c r="AI115" s="485"/>
      <c r="AJ115" s="485"/>
      <c r="AK115" s="485"/>
    </row>
    <row r="116" spans="1:37" ht="15.75" customHeight="1">
      <c r="A116" s="486" t="s">
        <v>624</v>
      </c>
      <c r="B116" s="486"/>
      <c r="C116" s="486"/>
      <c r="D116" s="486"/>
      <c r="E116" s="486"/>
      <c r="F116" s="486"/>
      <c r="G116" s="486"/>
      <c r="H116" s="486"/>
      <c r="I116" s="486"/>
      <c r="J116" s="486"/>
      <c r="K116" s="486"/>
      <c r="L116" s="486"/>
      <c r="M116" s="486"/>
      <c r="N116" s="486"/>
      <c r="O116" s="486"/>
      <c r="P116" s="486"/>
      <c r="Q116" s="486"/>
      <c r="R116" s="486"/>
      <c r="S116" s="486"/>
      <c r="T116" s="486"/>
      <c r="U116" s="486"/>
      <c r="V116" s="486"/>
      <c r="W116" s="486"/>
      <c r="X116" s="486"/>
      <c r="Y116" s="486"/>
      <c r="Z116" s="484">
        <v>104</v>
      </c>
      <c r="AA116" s="484"/>
      <c r="AB116" s="485">
        <v>7102</v>
      </c>
      <c r="AC116" s="485"/>
      <c r="AD116" s="485"/>
      <c r="AE116" s="485"/>
      <c r="AF116" s="485"/>
      <c r="AG116" s="485">
        <v>1643</v>
      </c>
      <c r="AH116" s="485"/>
      <c r="AI116" s="485"/>
      <c r="AJ116" s="485"/>
      <c r="AK116" s="485"/>
    </row>
    <row r="117" spans="1:37" ht="15.75" customHeight="1">
      <c r="A117" s="486" t="s">
        <v>625</v>
      </c>
      <c r="B117" s="486"/>
      <c r="C117" s="486"/>
      <c r="D117" s="486"/>
      <c r="E117" s="486"/>
      <c r="F117" s="486"/>
      <c r="G117" s="486"/>
      <c r="H117" s="486"/>
      <c r="I117" s="486"/>
      <c r="J117" s="486"/>
      <c r="K117" s="486"/>
      <c r="L117" s="486"/>
      <c r="M117" s="486"/>
      <c r="N117" s="486"/>
      <c r="O117" s="486"/>
      <c r="P117" s="486"/>
      <c r="Q117" s="486"/>
      <c r="R117" s="486"/>
      <c r="S117" s="486"/>
      <c r="T117" s="486"/>
      <c r="U117" s="486"/>
      <c r="V117" s="486"/>
      <c r="W117" s="486"/>
      <c r="X117" s="486"/>
      <c r="Y117" s="486"/>
      <c r="Z117" s="484">
        <v>105</v>
      </c>
      <c r="AA117" s="484"/>
      <c r="AB117" s="485">
        <v>0</v>
      </c>
      <c r="AC117" s="485"/>
      <c r="AD117" s="485"/>
      <c r="AE117" s="485"/>
      <c r="AF117" s="485"/>
      <c r="AG117" s="485">
        <v>0</v>
      </c>
      <c r="AH117" s="485"/>
      <c r="AI117" s="485"/>
      <c r="AJ117" s="485"/>
      <c r="AK117" s="485"/>
    </row>
    <row r="118" spans="1:37" ht="15.75" customHeight="1">
      <c r="A118" s="486" t="s">
        <v>626</v>
      </c>
      <c r="B118" s="486"/>
      <c r="C118" s="486"/>
      <c r="D118" s="486"/>
      <c r="E118" s="486"/>
      <c r="F118" s="486"/>
      <c r="G118" s="486"/>
      <c r="H118" s="486"/>
      <c r="I118" s="486"/>
      <c r="J118" s="486"/>
      <c r="K118" s="486"/>
      <c r="L118" s="486"/>
      <c r="M118" s="486"/>
      <c r="N118" s="486"/>
      <c r="O118" s="486"/>
      <c r="P118" s="486"/>
      <c r="Q118" s="486"/>
      <c r="R118" s="486"/>
      <c r="S118" s="486"/>
      <c r="T118" s="486"/>
      <c r="U118" s="486"/>
      <c r="V118" s="486"/>
      <c r="W118" s="486"/>
      <c r="X118" s="486"/>
      <c r="Y118" s="486"/>
      <c r="Z118" s="484">
        <v>106</v>
      </c>
      <c r="AA118" s="484"/>
      <c r="AB118" s="485">
        <v>0</v>
      </c>
      <c r="AC118" s="485"/>
      <c r="AD118" s="485"/>
      <c r="AE118" s="485"/>
      <c r="AF118" s="485"/>
      <c r="AG118" s="485">
        <v>6740</v>
      </c>
      <c r="AH118" s="485"/>
      <c r="AI118" s="485"/>
      <c r="AJ118" s="485"/>
      <c r="AK118" s="485"/>
    </row>
    <row r="119" spans="1:37" ht="15.75" customHeight="1">
      <c r="A119" s="486" t="s">
        <v>627</v>
      </c>
      <c r="B119" s="486"/>
      <c r="C119" s="486"/>
      <c r="D119" s="486"/>
      <c r="E119" s="486"/>
      <c r="F119" s="486"/>
      <c r="G119" s="486"/>
      <c r="H119" s="486"/>
      <c r="I119" s="486"/>
      <c r="J119" s="486"/>
      <c r="K119" s="486"/>
      <c r="L119" s="486"/>
      <c r="M119" s="486"/>
      <c r="N119" s="486"/>
      <c r="O119" s="486"/>
      <c r="P119" s="486"/>
      <c r="Q119" s="486"/>
      <c r="R119" s="486"/>
      <c r="S119" s="486"/>
      <c r="T119" s="486"/>
      <c r="U119" s="486"/>
      <c r="V119" s="486"/>
      <c r="W119" s="486"/>
      <c r="X119" s="486"/>
      <c r="Y119" s="486"/>
      <c r="Z119" s="484">
        <v>107</v>
      </c>
      <c r="AA119" s="484"/>
      <c r="AB119" s="485">
        <v>0</v>
      </c>
      <c r="AC119" s="485"/>
      <c r="AD119" s="485"/>
      <c r="AE119" s="485"/>
      <c r="AF119" s="485"/>
      <c r="AG119" s="485">
        <v>0</v>
      </c>
      <c r="AH119" s="485"/>
      <c r="AI119" s="485"/>
      <c r="AJ119" s="485"/>
      <c r="AK119" s="485"/>
    </row>
    <row r="120" spans="1:37" ht="15.75" customHeight="1">
      <c r="A120" s="486" t="s">
        <v>628</v>
      </c>
      <c r="B120" s="486"/>
      <c r="C120" s="486"/>
      <c r="D120" s="486"/>
      <c r="E120" s="486"/>
      <c r="F120" s="486"/>
      <c r="G120" s="486"/>
      <c r="H120" s="486"/>
      <c r="I120" s="486"/>
      <c r="J120" s="486"/>
      <c r="K120" s="486"/>
      <c r="L120" s="486"/>
      <c r="M120" s="486"/>
      <c r="N120" s="486"/>
      <c r="O120" s="486"/>
      <c r="P120" s="486"/>
      <c r="Q120" s="486"/>
      <c r="R120" s="486"/>
      <c r="S120" s="486"/>
      <c r="T120" s="486"/>
      <c r="U120" s="486"/>
      <c r="V120" s="486"/>
      <c r="W120" s="486"/>
      <c r="X120" s="486"/>
      <c r="Y120" s="486"/>
      <c r="Z120" s="484">
        <v>108</v>
      </c>
      <c r="AA120" s="484"/>
      <c r="AB120" s="485">
        <v>0</v>
      </c>
      <c r="AC120" s="485"/>
      <c r="AD120" s="485"/>
      <c r="AE120" s="485"/>
      <c r="AF120" s="485"/>
      <c r="AG120" s="485">
        <v>0</v>
      </c>
      <c r="AH120" s="485"/>
      <c r="AI120" s="485"/>
      <c r="AJ120" s="485"/>
      <c r="AK120" s="485"/>
    </row>
    <row r="121" spans="1:37" ht="15.75" customHeight="1">
      <c r="A121" s="491" t="s">
        <v>629</v>
      </c>
      <c r="B121" s="491"/>
      <c r="C121" s="491"/>
      <c r="D121" s="491"/>
      <c r="E121" s="491"/>
      <c r="F121" s="491"/>
      <c r="G121" s="491"/>
      <c r="H121" s="491"/>
      <c r="I121" s="491"/>
      <c r="J121" s="491"/>
      <c r="K121" s="491"/>
      <c r="L121" s="491"/>
      <c r="M121" s="491"/>
      <c r="N121" s="491"/>
      <c r="O121" s="491"/>
      <c r="P121" s="491"/>
      <c r="Q121" s="491"/>
      <c r="R121" s="491"/>
      <c r="S121" s="491"/>
      <c r="T121" s="491"/>
      <c r="U121" s="491"/>
      <c r="V121" s="491"/>
      <c r="W121" s="491"/>
      <c r="X121" s="491"/>
      <c r="Y121" s="491"/>
      <c r="Z121" s="484">
        <v>109</v>
      </c>
      <c r="AA121" s="484"/>
      <c r="AB121" s="485">
        <v>0</v>
      </c>
      <c r="AC121" s="485"/>
      <c r="AD121" s="485"/>
      <c r="AE121" s="485"/>
      <c r="AF121" s="485"/>
      <c r="AG121" s="485"/>
      <c r="AH121" s="485"/>
      <c r="AI121" s="485"/>
      <c r="AJ121" s="485"/>
      <c r="AK121" s="485"/>
    </row>
    <row r="122" spans="1:37" ht="15.75" customHeight="1">
      <c r="A122" s="491" t="s">
        <v>630</v>
      </c>
      <c r="B122" s="491"/>
      <c r="C122" s="491"/>
      <c r="D122" s="491"/>
      <c r="E122" s="491"/>
      <c r="F122" s="491"/>
      <c r="G122" s="491"/>
      <c r="H122" s="491"/>
      <c r="I122" s="491"/>
      <c r="J122" s="491"/>
      <c r="K122" s="491"/>
      <c r="L122" s="491"/>
      <c r="M122" s="491"/>
      <c r="N122" s="491"/>
      <c r="O122" s="491"/>
      <c r="P122" s="491"/>
      <c r="Q122" s="491"/>
      <c r="R122" s="491"/>
      <c r="S122" s="491"/>
      <c r="T122" s="491"/>
      <c r="U122" s="491"/>
      <c r="V122" s="491"/>
      <c r="W122" s="491"/>
      <c r="X122" s="491"/>
      <c r="Y122" s="491"/>
      <c r="Z122" s="484">
        <v>110</v>
      </c>
      <c r="AA122" s="484"/>
      <c r="AB122" s="485">
        <v>0</v>
      </c>
      <c r="AC122" s="485"/>
      <c r="AD122" s="485"/>
      <c r="AE122" s="485"/>
      <c r="AF122" s="485"/>
      <c r="AG122" s="485">
        <v>0</v>
      </c>
      <c r="AH122" s="485"/>
      <c r="AI122" s="485"/>
      <c r="AJ122" s="485"/>
      <c r="AK122" s="485"/>
    </row>
    <row r="123" spans="1:37" ht="15.75" customHeight="1">
      <c r="A123" s="491" t="s">
        <v>631</v>
      </c>
      <c r="B123" s="491"/>
      <c r="C123" s="491"/>
      <c r="D123" s="491"/>
      <c r="E123" s="491"/>
      <c r="F123" s="491"/>
      <c r="G123" s="491"/>
      <c r="H123" s="491"/>
      <c r="I123" s="491"/>
      <c r="J123" s="491"/>
      <c r="K123" s="491"/>
      <c r="L123" s="491"/>
      <c r="M123" s="491"/>
      <c r="N123" s="491"/>
      <c r="O123" s="491"/>
      <c r="P123" s="491"/>
      <c r="Q123" s="491"/>
      <c r="R123" s="491"/>
      <c r="S123" s="491"/>
      <c r="T123" s="491"/>
      <c r="U123" s="491"/>
      <c r="V123" s="491"/>
      <c r="W123" s="491"/>
      <c r="X123" s="491"/>
      <c r="Y123" s="491"/>
      <c r="Z123" s="484">
        <v>111</v>
      </c>
      <c r="AA123" s="484"/>
      <c r="AB123" s="485">
        <v>0</v>
      </c>
      <c r="AC123" s="485"/>
      <c r="AD123" s="485"/>
      <c r="AE123" s="485"/>
      <c r="AF123" s="485"/>
      <c r="AG123" s="485">
        <v>0</v>
      </c>
      <c r="AH123" s="485"/>
      <c r="AI123" s="485"/>
      <c r="AJ123" s="485"/>
      <c r="AK123" s="485"/>
    </row>
    <row r="124" spans="1:37" ht="15.75" customHeight="1">
      <c r="A124" s="491" t="s">
        <v>632</v>
      </c>
      <c r="B124" s="491"/>
      <c r="C124" s="491"/>
      <c r="D124" s="491"/>
      <c r="E124" s="491"/>
      <c r="F124" s="491"/>
      <c r="G124" s="491"/>
      <c r="H124" s="491"/>
      <c r="I124" s="491"/>
      <c r="J124" s="491"/>
      <c r="K124" s="491"/>
      <c r="L124" s="491"/>
      <c r="M124" s="491"/>
      <c r="N124" s="491"/>
      <c r="O124" s="491"/>
      <c r="P124" s="491"/>
      <c r="Q124" s="491"/>
      <c r="R124" s="491"/>
      <c r="S124" s="491"/>
      <c r="T124" s="491"/>
      <c r="U124" s="491"/>
      <c r="V124" s="491"/>
      <c r="W124" s="491"/>
      <c r="X124" s="491"/>
      <c r="Y124" s="491"/>
      <c r="Z124" s="484">
        <v>112</v>
      </c>
      <c r="AA124" s="484"/>
      <c r="AB124" s="485">
        <v>6406</v>
      </c>
      <c r="AC124" s="485"/>
      <c r="AD124" s="485"/>
      <c r="AE124" s="485"/>
      <c r="AF124" s="485"/>
      <c r="AG124" s="485">
        <v>6450</v>
      </c>
      <c r="AH124" s="485"/>
      <c r="AI124" s="485"/>
      <c r="AJ124" s="485"/>
      <c r="AK124" s="485"/>
    </row>
    <row r="125" spans="1:37" ht="15.75" customHeight="1">
      <c r="A125" s="491" t="s">
        <v>633</v>
      </c>
      <c r="B125" s="491"/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84">
        <v>113</v>
      </c>
      <c r="AA125" s="484"/>
      <c r="AB125" s="485">
        <v>27747</v>
      </c>
      <c r="AC125" s="485"/>
      <c r="AD125" s="485"/>
      <c r="AE125" s="485"/>
      <c r="AF125" s="485"/>
      <c r="AG125" s="485">
        <v>0</v>
      </c>
      <c r="AH125" s="485"/>
      <c r="AI125" s="485"/>
      <c r="AJ125" s="485"/>
      <c r="AK125" s="485"/>
    </row>
    <row r="126" spans="1:37" ht="15.75" customHeight="1">
      <c r="A126" s="486" t="s">
        <v>634</v>
      </c>
      <c r="B126" s="486"/>
      <c r="C126" s="486"/>
      <c r="D126" s="486"/>
      <c r="E126" s="486"/>
      <c r="F126" s="486"/>
      <c r="G126" s="486"/>
      <c r="H126" s="486"/>
      <c r="I126" s="486"/>
      <c r="J126" s="486"/>
      <c r="K126" s="486"/>
      <c r="L126" s="486"/>
      <c r="M126" s="486"/>
      <c r="N126" s="486"/>
      <c r="O126" s="486"/>
      <c r="P126" s="486"/>
      <c r="Q126" s="486"/>
      <c r="R126" s="486"/>
      <c r="S126" s="486"/>
      <c r="T126" s="486"/>
      <c r="U126" s="486"/>
      <c r="V126" s="486"/>
      <c r="W126" s="486"/>
      <c r="X126" s="486"/>
      <c r="Y126" s="486"/>
      <c r="Z126" s="484">
        <v>114</v>
      </c>
      <c r="AA126" s="484"/>
      <c r="AB126" s="485">
        <v>0</v>
      </c>
      <c r="AC126" s="485"/>
      <c r="AD126" s="485"/>
      <c r="AE126" s="485"/>
      <c r="AF126" s="485"/>
      <c r="AG126" s="485">
        <v>0</v>
      </c>
      <c r="AH126" s="485"/>
      <c r="AI126" s="485"/>
      <c r="AJ126" s="485"/>
      <c r="AK126" s="485"/>
    </row>
    <row r="127" spans="1:37" ht="15.75" customHeight="1">
      <c r="A127" s="486" t="s">
        <v>635</v>
      </c>
      <c r="B127" s="486"/>
      <c r="C127" s="486"/>
      <c r="D127" s="486"/>
      <c r="E127" s="486"/>
      <c r="F127" s="486"/>
      <c r="G127" s="486"/>
      <c r="H127" s="486"/>
      <c r="I127" s="486"/>
      <c r="J127" s="486"/>
      <c r="K127" s="486"/>
      <c r="L127" s="486"/>
      <c r="M127" s="486"/>
      <c r="N127" s="486"/>
      <c r="O127" s="486"/>
      <c r="P127" s="486"/>
      <c r="Q127" s="486"/>
      <c r="R127" s="486"/>
      <c r="S127" s="486"/>
      <c r="T127" s="486"/>
      <c r="U127" s="486"/>
      <c r="V127" s="486"/>
      <c r="W127" s="486"/>
      <c r="X127" s="486"/>
      <c r="Y127" s="486"/>
      <c r="Z127" s="484">
        <v>115</v>
      </c>
      <c r="AA127" s="484"/>
      <c r="AB127" s="485">
        <v>1567</v>
      </c>
      <c r="AC127" s="485"/>
      <c r="AD127" s="485"/>
      <c r="AE127" s="485"/>
      <c r="AF127" s="485"/>
      <c r="AG127" s="485">
        <v>33</v>
      </c>
      <c r="AH127" s="485"/>
      <c r="AI127" s="485"/>
      <c r="AJ127" s="485"/>
      <c r="AK127" s="485"/>
    </row>
    <row r="128" spans="1:37" ht="15.75" customHeight="1">
      <c r="A128" s="486" t="s">
        <v>636</v>
      </c>
      <c r="B128" s="486"/>
      <c r="C128" s="486"/>
      <c r="D128" s="486"/>
      <c r="E128" s="486"/>
      <c r="F128" s="486"/>
      <c r="G128" s="486"/>
      <c r="H128" s="486"/>
      <c r="I128" s="486"/>
      <c r="J128" s="486"/>
      <c r="K128" s="486"/>
      <c r="L128" s="486"/>
      <c r="M128" s="486"/>
      <c r="N128" s="486"/>
      <c r="O128" s="486"/>
      <c r="P128" s="486"/>
      <c r="Q128" s="486"/>
      <c r="R128" s="486"/>
      <c r="S128" s="486"/>
      <c r="T128" s="486"/>
      <c r="U128" s="486"/>
      <c r="V128" s="486"/>
      <c r="W128" s="486"/>
      <c r="X128" s="486"/>
      <c r="Y128" s="486"/>
      <c r="Z128" s="484">
        <v>116</v>
      </c>
      <c r="AA128" s="484"/>
      <c r="AB128" s="485">
        <v>418</v>
      </c>
      <c r="AC128" s="485"/>
      <c r="AD128" s="485"/>
      <c r="AE128" s="485"/>
      <c r="AF128" s="485"/>
      <c r="AG128" s="485">
        <v>1354</v>
      </c>
      <c r="AH128" s="485"/>
      <c r="AI128" s="485"/>
      <c r="AJ128" s="485"/>
      <c r="AK128" s="485"/>
    </row>
    <row r="129" spans="1:37" ht="15.75" customHeight="1">
      <c r="A129" s="486" t="s">
        <v>637</v>
      </c>
      <c r="B129" s="486"/>
      <c r="C129" s="486"/>
      <c r="D129" s="486"/>
      <c r="E129" s="486"/>
      <c r="F129" s="486"/>
      <c r="G129" s="486"/>
      <c r="H129" s="486"/>
      <c r="I129" s="486"/>
      <c r="J129" s="486"/>
      <c r="K129" s="486"/>
      <c r="L129" s="486"/>
      <c r="M129" s="486"/>
      <c r="N129" s="486"/>
      <c r="O129" s="486"/>
      <c r="P129" s="486"/>
      <c r="Q129" s="486"/>
      <c r="R129" s="486"/>
      <c r="S129" s="486"/>
      <c r="T129" s="486"/>
      <c r="U129" s="486"/>
      <c r="V129" s="486"/>
      <c r="W129" s="486"/>
      <c r="X129" s="486"/>
      <c r="Y129" s="486"/>
      <c r="Z129" s="484">
        <v>117</v>
      </c>
      <c r="AA129" s="484"/>
      <c r="AB129" s="485">
        <v>0</v>
      </c>
      <c r="AC129" s="485"/>
      <c r="AD129" s="485"/>
      <c r="AE129" s="485"/>
      <c r="AF129" s="485"/>
      <c r="AG129" s="485">
        <v>0</v>
      </c>
      <c r="AH129" s="485"/>
      <c r="AI129" s="485"/>
      <c r="AJ129" s="485"/>
      <c r="AK129" s="485"/>
    </row>
    <row r="130" spans="1:37" ht="15.75" customHeight="1">
      <c r="A130" s="487" t="s">
        <v>638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  <c r="Y130" s="487"/>
      <c r="Z130" s="484">
        <v>118</v>
      </c>
      <c r="AA130" s="484"/>
      <c r="AB130" s="489">
        <v>133532</v>
      </c>
      <c r="AC130" s="489"/>
      <c r="AD130" s="489"/>
      <c r="AE130" s="489"/>
      <c r="AF130" s="489"/>
      <c r="AG130" s="489">
        <v>125220</v>
      </c>
      <c r="AH130" s="489"/>
      <c r="AI130" s="489"/>
      <c r="AJ130" s="489"/>
      <c r="AK130" s="489"/>
    </row>
    <row r="131" spans="1:37" ht="15.75" customHeight="1">
      <c r="A131" s="486" t="s">
        <v>639</v>
      </c>
      <c r="B131" s="486"/>
      <c r="C131" s="486"/>
      <c r="D131" s="486"/>
      <c r="E131" s="486"/>
      <c r="F131" s="486"/>
      <c r="G131" s="486"/>
      <c r="H131" s="486"/>
      <c r="I131" s="486"/>
      <c r="J131" s="486"/>
      <c r="K131" s="486"/>
      <c r="L131" s="486"/>
      <c r="M131" s="486"/>
      <c r="N131" s="486"/>
      <c r="O131" s="486"/>
      <c r="P131" s="486"/>
      <c r="Q131" s="486"/>
      <c r="R131" s="486"/>
      <c r="S131" s="486"/>
      <c r="T131" s="486"/>
      <c r="U131" s="486"/>
      <c r="V131" s="486"/>
      <c r="W131" s="486"/>
      <c r="X131" s="486"/>
      <c r="Y131" s="486"/>
      <c r="Z131" s="484">
        <v>119</v>
      </c>
      <c r="AA131" s="484"/>
      <c r="AB131" s="485">
        <v>4751</v>
      </c>
      <c r="AC131" s="485"/>
      <c r="AD131" s="485"/>
      <c r="AE131" s="485"/>
      <c r="AF131" s="485"/>
      <c r="AG131" s="485">
        <v>4174</v>
      </c>
      <c r="AH131" s="485"/>
      <c r="AI131" s="485"/>
      <c r="AJ131" s="485"/>
      <c r="AK131" s="485"/>
    </row>
    <row r="132" spans="1:37" ht="15.75" customHeight="1">
      <c r="A132" s="486" t="s">
        <v>640</v>
      </c>
      <c r="B132" s="486"/>
      <c r="C132" s="486"/>
      <c r="D132" s="486"/>
      <c r="E132" s="486"/>
      <c r="F132" s="486"/>
      <c r="G132" s="486"/>
      <c r="H132" s="486"/>
      <c r="I132" s="486"/>
      <c r="J132" s="486"/>
      <c r="K132" s="486"/>
      <c r="L132" s="486"/>
      <c r="M132" s="486"/>
      <c r="N132" s="486"/>
      <c r="O132" s="486"/>
      <c r="P132" s="486"/>
      <c r="Q132" s="486"/>
      <c r="R132" s="486"/>
      <c r="S132" s="486"/>
      <c r="T132" s="486"/>
      <c r="U132" s="486"/>
      <c r="V132" s="486"/>
      <c r="W132" s="486"/>
      <c r="X132" s="486"/>
      <c r="Y132" s="486"/>
      <c r="Z132" s="484">
        <v>120</v>
      </c>
      <c r="AA132" s="484"/>
      <c r="AB132" s="485">
        <v>0</v>
      </c>
      <c r="AC132" s="485"/>
      <c r="AD132" s="485"/>
      <c r="AE132" s="485"/>
      <c r="AF132" s="485"/>
      <c r="AG132" s="485">
        <v>36326</v>
      </c>
      <c r="AH132" s="485"/>
      <c r="AI132" s="485"/>
      <c r="AJ132" s="485"/>
      <c r="AK132" s="485"/>
    </row>
    <row r="133" spans="1:37" ht="15.75" customHeight="1">
      <c r="A133" s="486" t="s">
        <v>641</v>
      </c>
      <c r="B133" s="486"/>
      <c r="C133" s="486"/>
      <c r="D133" s="486"/>
      <c r="E133" s="486"/>
      <c r="F133" s="486"/>
      <c r="G133" s="486"/>
      <c r="H133" s="486"/>
      <c r="I133" s="486"/>
      <c r="J133" s="486"/>
      <c r="K133" s="486"/>
      <c r="L133" s="486"/>
      <c r="M133" s="486"/>
      <c r="N133" s="486"/>
      <c r="O133" s="486"/>
      <c r="P133" s="486"/>
      <c r="Q133" s="486"/>
      <c r="R133" s="486"/>
      <c r="S133" s="486"/>
      <c r="T133" s="486"/>
      <c r="U133" s="486"/>
      <c r="V133" s="486"/>
      <c r="W133" s="486"/>
      <c r="X133" s="486"/>
      <c r="Y133" s="486"/>
      <c r="Z133" s="484">
        <v>121</v>
      </c>
      <c r="AA133" s="484"/>
      <c r="AB133" s="485">
        <v>39549</v>
      </c>
      <c r="AC133" s="485"/>
      <c r="AD133" s="485"/>
      <c r="AE133" s="485"/>
      <c r="AF133" s="485"/>
      <c r="AG133" s="485">
        <v>0</v>
      </c>
      <c r="AH133" s="485"/>
      <c r="AI133" s="485"/>
      <c r="AJ133" s="485"/>
      <c r="AK133" s="485"/>
    </row>
    <row r="134" spans="1:37" ht="15.75" customHeight="1">
      <c r="A134" s="486" t="s">
        <v>642</v>
      </c>
      <c r="B134" s="486"/>
      <c r="C134" s="486"/>
      <c r="D134" s="486"/>
      <c r="E134" s="486"/>
      <c r="F134" s="486"/>
      <c r="G134" s="486"/>
      <c r="H134" s="486"/>
      <c r="I134" s="486"/>
      <c r="J134" s="486"/>
      <c r="K134" s="486"/>
      <c r="L134" s="486"/>
      <c r="M134" s="486"/>
      <c r="N134" s="486"/>
      <c r="O134" s="486"/>
      <c r="P134" s="486"/>
      <c r="Q134" s="486"/>
      <c r="R134" s="486"/>
      <c r="S134" s="486"/>
      <c r="T134" s="486"/>
      <c r="U134" s="486"/>
      <c r="V134" s="486"/>
      <c r="W134" s="486"/>
      <c r="X134" s="486"/>
      <c r="Y134" s="486"/>
      <c r="Z134" s="484">
        <v>122</v>
      </c>
      <c r="AA134" s="484"/>
      <c r="AB134" s="485">
        <v>69</v>
      </c>
      <c r="AC134" s="485"/>
      <c r="AD134" s="485"/>
      <c r="AE134" s="485"/>
      <c r="AF134" s="485"/>
      <c r="AG134" s="485">
        <v>119</v>
      </c>
      <c r="AH134" s="485"/>
      <c r="AI134" s="485"/>
      <c r="AJ134" s="485"/>
      <c r="AK134" s="485"/>
    </row>
    <row r="135" spans="1:37" ht="15.75" customHeight="1">
      <c r="A135" s="486" t="s">
        <v>643</v>
      </c>
      <c r="B135" s="486"/>
      <c r="C135" s="486"/>
      <c r="D135" s="486"/>
      <c r="E135" s="486"/>
      <c r="F135" s="486"/>
      <c r="G135" s="486"/>
      <c r="H135" s="486"/>
      <c r="I135" s="486"/>
      <c r="J135" s="486"/>
      <c r="K135" s="486"/>
      <c r="L135" s="486"/>
      <c r="M135" s="486"/>
      <c r="N135" s="486"/>
      <c r="O135" s="486"/>
      <c r="P135" s="486"/>
      <c r="Q135" s="486"/>
      <c r="R135" s="486"/>
      <c r="S135" s="486"/>
      <c r="T135" s="486"/>
      <c r="U135" s="486"/>
      <c r="V135" s="486"/>
      <c r="W135" s="486"/>
      <c r="X135" s="486"/>
      <c r="Y135" s="486"/>
      <c r="Z135" s="484">
        <v>123</v>
      </c>
      <c r="AA135" s="484"/>
      <c r="AB135" s="485">
        <v>0</v>
      </c>
      <c r="AC135" s="485"/>
      <c r="AD135" s="485"/>
      <c r="AE135" s="485"/>
      <c r="AF135" s="485"/>
      <c r="AG135" s="485">
        <v>0</v>
      </c>
      <c r="AH135" s="485"/>
      <c r="AI135" s="485"/>
      <c r="AJ135" s="485"/>
      <c r="AK135" s="485"/>
    </row>
    <row r="136" spans="1:37" ht="15.75" customHeight="1">
      <c r="A136" s="486" t="s">
        <v>644</v>
      </c>
      <c r="B136" s="486"/>
      <c r="C136" s="486"/>
      <c r="D136" s="486"/>
      <c r="E136" s="486"/>
      <c r="F136" s="486"/>
      <c r="G136" s="486"/>
      <c r="H136" s="486"/>
      <c r="I136" s="486"/>
      <c r="J136" s="486"/>
      <c r="K136" s="486"/>
      <c r="L136" s="486"/>
      <c r="M136" s="486"/>
      <c r="N136" s="486"/>
      <c r="O136" s="486"/>
      <c r="P136" s="486"/>
      <c r="Q136" s="486"/>
      <c r="R136" s="486"/>
      <c r="S136" s="486"/>
      <c r="T136" s="486"/>
      <c r="U136" s="486"/>
      <c r="V136" s="486"/>
      <c r="W136" s="486"/>
      <c r="X136" s="486"/>
      <c r="Y136" s="486"/>
      <c r="Z136" s="484">
        <v>124</v>
      </c>
      <c r="AA136" s="484"/>
      <c r="AB136" s="485">
        <v>0</v>
      </c>
      <c r="AC136" s="485"/>
      <c r="AD136" s="485"/>
      <c r="AE136" s="485"/>
      <c r="AF136" s="485"/>
      <c r="AG136" s="485">
        <v>0</v>
      </c>
      <c r="AH136" s="485"/>
      <c r="AI136" s="485"/>
      <c r="AJ136" s="485"/>
      <c r="AK136" s="485"/>
    </row>
    <row r="137" spans="1:37" ht="12.75" customHeight="1">
      <c r="A137" s="487" t="s">
        <v>645</v>
      </c>
      <c r="B137" s="487"/>
      <c r="C137" s="487"/>
      <c r="D137" s="487"/>
      <c r="E137" s="487"/>
      <c r="F137" s="487"/>
      <c r="G137" s="487"/>
      <c r="H137" s="487"/>
      <c r="I137" s="487"/>
      <c r="J137" s="487"/>
      <c r="K137" s="487"/>
      <c r="L137" s="487"/>
      <c r="M137" s="487"/>
      <c r="N137" s="487"/>
      <c r="O137" s="487"/>
      <c r="P137" s="487"/>
      <c r="Q137" s="487"/>
      <c r="R137" s="487"/>
      <c r="S137" s="487"/>
      <c r="T137" s="487"/>
      <c r="U137" s="487"/>
      <c r="V137" s="487"/>
      <c r="W137" s="487"/>
      <c r="X137" s="487"/>
      <c r="Y137" s="487"/>
      <c r="Z137" s="484">
        <v>125</v>
      </c>
      <c r="AA137" s="484"/>
      <c r="AB137" s="489">
        <v>44369</v>
      </c>
      <c r="AC137" s="489"/>
      <c r="AD137" s="489"/>
      <c r="AE137" s="489"/>
      <c r="AF137" s="489"/>
      <c r="AG137" s="489">
        <v>40619</v>
      </c>
      <c r="AH137" s="489"/>
      <c r="AI137" s="489"/>
      <c r="AJ137" s="489"/>
      <c r="AK137" s="489"/>
    </row>
    <row r="138" spans="1:37" ht="12.75" customHeight="1">
      <c r="A138" s="487" t="s">
        <v>646</v>
      </c>
      <c r="B138" s="487"/>
      <c r="C138" s="487"/>
      <c r="D138" s="487"/>
      <c r="E138" s="487"/>
      <c r="F138" s="487"/>
      <c r="G138" s="487"/>
      <c r="H138" s="487"/>
      <c r="I138" s="487"/>
      <c r="J138" s="487"/>
      <c r="K138" s="487"/>
      <c r="L138" s="487"/>
      <c r="M138" s="487"/>
      <c r="N138" s="487"/>
      <c r="O138" s="487"/>
      <c r="P138" s="487"/>
      <c r="Q138" s="487"/>
      <c r="R138" s="487"/>
      <c r="S138" s="487"/>
      <c r="T138" s="487"/>
      <c r="U138" s="487"/>
      <c r="V138" s="487"/>
      <c r="W138" s="487"/>
      <c r="X138" s="487"/>
      <c r="Y138" s="487"/>
      <c r="Z138" s="484">
        <v>126</v>
      </c>
      <c r="AA138" s="484"/>
      <c r="AB138" s="489">
        <v>607049</v>
      </c>
      <c r="AC138" s="489"/>
      <c r="AD138" s="489"/>
      <c r="AE138" s="489"/>
      <c r="AF138" s="489"/>
      <c r="AG138" s="489">
        <v>596998</v>
      </c>
      <c r="AH138" s="489"/>
      <c r="AI138" s="489"/>
      <c r="AJ138" s="489"/>
      <c r="AK138" s="489"/>
    </row>
    <row r="139" spans="1:37" ht="12.75" customHeight="1">
      <c r="A139" s="487" t="s">
        <v>647</v>
      </c>
      <c r="B139" s="487"/>
      <c r="C139" s="487"/>
      <c r="D139" s="487"/>
      <c r="E139" s="487"/>
      <c r="F139" s="487"/>
      <c r="G139" s="487"/>
      <c r="H139" s="487"/>
      <c r="I139" s="487"/>
      <c r="J139" s="487"/>
      <c r="K139" s="487"/>
      <c r="L139" s="487"/>
      <c r="M139" s="487"/>
      <c r="N139" s="487"/>
      <c r="O139" s="487"/>
      <c r="P139" s="487"/>
      <c r="Q139" s="487"/>
      <c r="R139" s="487"/>
      <c r="S139" s="487"/>
      <c r="T139" s="487"/>
      <c r="U139" s="487"/>
      <c r="V139" s="487"/>
      <c r="W139" s="487"/>
      <c r="X139" s="487"/>
      <c r="Y139" s="487"/>
      <c r="Z139" s="484">
        <v>127</v>
      </c>
      <c r="AA139" s="484"/>
      <c r="AB139" s="489">
        <v>2228058</v>
      </c>
      <c r="AC139" s="489"/>
      <c r="AD139" s="489"/>
      <c r="AE139" s="489"/>
      <c r="AF139" s="489"/>
      <c r="AG139" s="489">
        <v>2176674</v>
      </c>
      <c r="AH139" s="489"/>
      <c r="AI139" s="489"/>
      <c r="AJ139" s="489"/>
      <c r="AK139" s="489"/>
    </row>
  </sheetData>
  <sheetProtection selectLockedCells="1" selectUnlockedCells="1"/>
  <mergeCells count="530">
    <mergeCell ref="B2:AK2"/>
    <mergeCell ref="A4:AK4"/>
    <mergeCell ref="AF5:AK5"/>
    <mergeCell ref="AF6:AK6"/>
    <mergeCell ref="A7:Y8"/>
    <mergeCell ref="Z7:AA8"/>
    <mergeCell ref="AB7:AF7"/>
    <mergeCell ref="AG7:AK7"/>
    <mergeCell ref="AB8:AK8"/>
    <mergeCell ref="A9:Y9"/>
    <mergeCell ref="Z9:AA9"/>
    <mergeCell ref="AB9:AF9"/>
    <mergeCell ref="AG9:AK9"/>
    <mergeCell ref="A10:Y10"/>
    <mergeCell ref="Z10:AA10"/>
    <mergeCell ref="AB10:AF10"/>
    <mergeCell ref="AG10:AK10"/>
    <mergeCell ref="A11:Y11"/>
    <mergeCell ref="Z11:AA11"/>
    <mergeCell ref="AB11:AF11"/>
    <mergeCell ref="AG11:AK11"/>
    <mergeCell ref="A12:Y12"/>
    <mergeCell ref="Z12:AA12"/>
    <mergeCell ref="AB12:AF12"/>
    <mergeCell ref="AG12:AK12"/>
    <mergeCell ref="A13:Y13"/>
    <mergeCell ref="Z13:AA13"/>
    <mergeCell ref="AB13:AF13"/>
    <mergeCell ref="AG13:AK13"/>
    <mergeCell ref="A14:Y14"/>
    <mergeCell ref="Z14:AA14"/>
    <mergeCell ref="AB14:AF14"/>
    <mergeCell ref="AG14:AK14"/>
    <mergeCell ref="A15:Y15"/>
    <mergeCell ref="Z15:AA15"/>
    <mergeCell ref="AB15:AF15"/>
    <mergeCell ref="AG15:AK15"/>
    <mergeCell ref="A16:Y16"/>
    <mergeCell ref="Z16:AA16"/>
    <mergeCell ref="AB16:AF16"/>
    <mergeCell ref="AG16:AK16"/>
    <mergeCell ref="A17:Y17"/>
    <mergeCell ref="Z17:AA17"/>
    <mergeCell ref="AB17:AF17"/>
    <mergeCell ref="AG17:AK17"/>
    <mergeCell ref="A18:Y18"/>
    <mergeCell ref="Z18:AA18"/>
    <mergeCell ref="AB18:AF18"/>
    <mergeCell ref="AG18:AK18"/>
    <mergeCell ref="A19:Y19"/>
    <mergeCell ref="Z19:AA19"/>
    <mergeCell ref="AB19:AF19"/>
    <mergeCell ref="AG19:AK19"/>
    <mergeCell ref="A20:Y20"/>
    <mergeCell ref="Z20:AA20"/>
    <mergeCell ref="AB20:AF20"/>
    <mergeCell ref="AG20:AK20"/>
    <mergeCell ref="A21:Y21"/>
    <mergeCell ref="Z21:AA21"/>
    <mergeCell ref="AB21:AF21"/>
    <mergeCell ref="AG21:AK21"/>
    <mergeCell ref="A22:Y22"/>
    <mergeCell ref="Z22:AA22"/>
    <mergeCell ref="AB22:AF22"/>
    <mergeCell ref="AG22:AK22"/>
    <mergeCell ref="A23:Y23"/>
    <mergeCell ref="Z23:AA23"/>
    <mergeCell ref="AB23:AF23"/>
    <mergeCell ref="AG23:AK23"/>
    <mergeCell ref="A24:Y24"/>
    <mergeCell ref="Z24:AA24"/>
    <mergeCell ref="AB24:AF24"/>
    <mergeCell ref="AG24:AK24"/>
    <mergeCell ref="A25:Y25"/>
    <mergeCell ref="Z25:AA25"/>
    <mergeCell ref="AB25:AF25"/>
    <mergeCell ref="AG25:AK25"/>
    <mergeCell ref="A26:Y26"/>
    <mergeCell ref="Z26:AA26"/>
    <mergeCell ref="AB26:AF26"/>
    <mergeCell ref="AG26:AK26"/>
    <mergeCell ref="A27:Y27"/>
    <mergeCell ref="Z27:AA27"/>
    <mergeCell ref="AB27:AF27"/>
    <mergeCell ref="AG27:AK27"/>
    <mergeCell ref="A28:Y28"/>
    <mergeCell ref="Z28:AA28"/>
    <mergeCell ref="AB28:AF28"/>
    <mergeCell ref="AG28:AK28"/>
    <mergeCell ref="A29:Y29"/>
    <mergeCell ref="Z29:AA29"/>
    <mergeCell ref="AB29:AF29"/>
    <mergeCell ref="AG29:AK29"/>
    <mergeCell ref="A30:Y30"/>
    <mergeCell ref="Z30:AA30"/>
    <mergeCell ref="AB30:AF30"/>
    <mergeCell ref="AG30:AK30"/>
    <mergeCell ref="A31:Y31"/>
    <mergeCell ref="Z31:AA31"/>
    <mergeCell ref="AB31:AF31"/>
    <mergeCell ref="AG31:AK31"/>
    <mergeCell ref="A32:Y32"/>
    <mergeCell ref="Z32:AA32"/>
    <mergeCell ref="AB32:AF32"/>
    <mergeCell ref="AG32:AK32"/>
    <mergeCell ref="A33:Y33"/>
    <mergeCell ref="Z33:AA33"/>
    <mergeCell ref="AB33:AF33"/>
    <mergeCell ref="AG33:AK33"/>
    <mergeCell ref="A34:Y34"/>
    <mergeCell ref="Z34:AA34"/>
    <mergeCell ref="AB34:AF34"/>
    <mergeCell ref="AG34:AK34"/>
    <mergeCell ref="A35:Y35"/>
    <mergeCell ref="Z35:AA35"/>
    <mergeCell ref="AB35:AF35"/>
    <mergeCell ref="AG35:AK35"/>
    <mergeCell ref="A36:Y36"/>
    <mergeCell ref="Z36:AA36"/>
    <mergeCell ref="AB36:AF36"/>
    <mergeCell ref="AG36:AK36"/>
    <mergeCell ref="A37:Y37"/>
    <mergeCell ref="Z37:AA37"/>
    <mergeCell ref="AB37:AF37"/>
    <mergeCell ref="AG37:AK37"/>
    <mergeCell ref="A38:Y38"/>
    <mergeCell ref="Z38:AA38"/>
    <mergeCell ref="AB38:AF38"/>
    <mergeCell ref="AG38:AK38"/>
    <mergeCell ref="A39:Y39"/>
    <mergeCell ref="Z39:AA39"/>
    <mergeCell ref="AB39:AF39"/>
    <mergeCell ref="AG39:AK39"/>
    <mergeCell ref="A40:Y40"/>
    <mergeCell ref="Z40:AA40"/>
    <mergeCell ref="AB40:AF40"/>
    <mergeCell ref="AG40:AK40"/>
    <mergeCell ref="A41:Y41"/>
    <mergeCell ref="Z41:AA41"/>
    <mergeCell ref="AB41:AF41"/>
    <mergeCell ref="AG41:AK41"/>
    <mergeCell ref="A42:Y42"/>
    <mergeCell ref="Z42:AA42"/>
    <mergeCell ref="AB42:AF42"/>
    <mergeCell ref="AG42:AK42"/>
    <mergeCell ref="A43:Y43"/>
    <mergeCell ref="Z43:AA43"/>
    <mergeCell ref="AB43:AF43"/>
    <mergeCell ref="AG43:AK43"/>
    <mergeCell ref="A44:Y44"/>
    <mergeCell ref="Z44:AA44"/>
    <mergeCell ref="AB44:AF44"/>
    <mergeCell ref="AG44:AK44"/>
    <mergeCell ref="A45:Y45"/>
    <mergeCell ref="Z45:AA45"/>
    <mergeCell ref="AB45:AF45"/>
    <mergeCell ref="AG45:AK45"/>
    <mergeCell ref="A46:Y46"/>
    <mergeCell ref="Z46:AA46"/>
    <mergeCell ref="AB46:AF46"/>
    <mergeCell ref="AG46:AK46"/>
    <mergeCell ref="A47:Y47"/>
    <mergeCell ref="Z47:AA47"/>
    <mergeCell ref="AB47:AF47"/>
    <mergeCell ref="AG47:AK47"/>
    <mergeCell ref="A48:Y48"/>
    <mergeCell ref="Z48:AA48"/>
    <mergeCell ref="AB48:AF48"/>
    <mergeCell ref="AG48:AK48"/>
    <mergeCell ref="A49:Y49"/>
    <mergeCell ref="Z49:AA49"/>
    <mergeCell ref="AB49:AF49"/>
    <mergeCell ref="AG49:AK49"/>
    <mergeCell ref="A50:Y50"/>
    <mergeCell ref="Z50:AA50"/>
    <mergeCell ref="AB50:AF50"/>
    <mergeCell ref="AG50:AK50"/>
    <mergeCell ref="A51:Y51"/>
    <mergeCell ref="Z51:AA51"/>
    <mergeCell ref="AB51:AF51"/>
    <mergeCell ref="AG51:AK51"/>
    <mergeCell ref="A52:Y52"/>
    <mergeCell ref="Z52:AA52"/>
    <mergeCell ref="AB52:AF52"/>
    <mergeCell ref="AG52:AK52"/>
    <mergeCell ref="A53:Y53"/>
    <mergeCell ref="Z53:AA53"/>
    <mergeCell ref="AB53:AF53"/>
    <mergeCell ref="AG53:AK53"/>
    <mergeCell ref="A54:Y54"/>
    <mergeCell ref="Z54:AA54"/>
    <mergeCell ref="AB54:AF54"/>
    <mergeCell ref="AG54:AK54"/>
    <mergeCell ref="A55:Y55"/>
    <mergeCell ref="Z55:AA55"/>
    <mergeCell ref="AB55:AF55"/>
    <mergeCell ref="AG55:AK55"/>
    <mergeCell ref="A56:Y56"/>
    <mergeCell ref="Z56:AA56"/>
    <mergeCell ref="AB56:AF56"/>
    <mergeCell ref="AG56:AK56"/>
    <mergeCell ref="A57:Y57"/>
    <mergeCell ref="Z57:AA57"/>
    <mergeCell ref="AB57:AF57"/>
    <mergeCell ref="AG57:AK57"/>
    <mergeCell ref="A58:Y58"/>
    <mergeCell ref="Z58:AA58"/>
    <mergeCell ref="AB58:AF58"/>
    <mergeCell ref="AG58:AK58"/>
    <mergeCell ref="A59:Y59"/>
    <mergeCell ref="Z59:AA59"/>
    <mergeCell ref="AB59:AF59"/>
    <mergeCell ref="AG59:AK59"/>
    <mergeCell ref="A60:Y60"/>
    <mergeCell ref="Z60:AA60"/>
    <mergeCell ref="AB60:AF60"/>
    <mergeCell ref="AG60:AK60"/>
    <mergeCell ref="A61:Y61"/>
    <mergeCell ref="Z61:AA61"/>
    <mergeCell ref="AB61:AF61"/>
    <mergeCell ref="AG61:AK61"/>
    <mergeCell ref="A62:Y62"/>
    <mergeCell ref="Z62:AA62"/>
    <mergeCell ref="AB62:AF62"/>
    <mergeCell ref="AG62:AK62"/>
    <mergeCell ref="A63:Y63"/>
    <mergeCell ref="Z63:AA63"/>
    <mergeCell ref="AB63:AF63"/>
    <mergeCell ref="AG63:AK63"/>
    <mergeCell ref="A64:Y64"/>
    <mergeCell ref="Z64:AA64"/>
    <mergeCell ref="AB64:AF64"/>
    <mergeCell ref="AG64:AK64"/>
    <mergeCell ref="A65:Y65"/>
    <mergeCell ref="Z65:AA65"/>
    <mergeCell ref="AB65:AF65"/>
    <mergeCell ref="AG65:AK65"/>
    <mergeCell ref="A66:Y66"/>
    <mergeCell ref="Z66:AA66"/>
    <mergeCell ref="AB66:AF66"/>
    <mergeCell ref="AG66:AK66"/>
    <mergeCell ref="A67:Y67"/>
    <mergeCell ref="Z67:AA67"/>
    <mergeCell ref="AB67:AF67"/>
    <mergeCell ref="AG67:AK67"/>
    <mergeCell ref="A68:Y68"/>
    <mergeCell ref="Z68:AA68"/>
    <mergeCell ref="AB68:AF68"/>
    <mergeCell ref="AG68:AK68"/>
    <mergeCell ref="A69:Y69"/>
    <mergeCell ref="Z69:AA69"/>
    <mergeCell ref="AB69:AF69"/>
    <mergeCell ref="AG69:AK69"/>
    <mergeCell ref="A70:Y70"/>
    <mergeCell ref="Z70:AA70"/>
    <mergeCell ref="AB70:AF70"/>
    <mergeCell ref="AG70:AK70"/>
    <mergeCell ref="A71:Y71"/>
    <mergeCell ref="Z71:AA71"/>
    <mergeCell ref="AB71:AF71"/>
    <mergeCell ref="AG71:AK71"/>
    <mergeCell ref="A72:Y72"/>
    <mergeCell ref="Z72:AA72"/>
    <mergeCell ref="AB72:AF72"/>
    <mergeCell ref="AG72:AK72"/>
    <mergeCell ref="A73:Y73"/>
    <mergeCell ref="Z73:AA73"/>
    <mergeCell ref="AB73:AF73"/>
    <mergeCell ref="AG73:AK73"/>
    <mergeCell ref="A74:Y74"/>
    <mergeCell ref="Z74:AA74"/>
    <mergeCell ref="AB74:AF74"/>
    <mergeCell ref="AG74:AK74"/>
    <mergeCell ref="A75:Y76"/>
    <mergeCell ref="Z75:AA76"/>
    <mergeCell ref="AB75:AF75"/>
    <mergeCell ref="AG75:AK75"/>
    <mergeCell ref="AB76:AK76"/>
    <mergeCell ref="A77:Y77"/>
    <mergeCell ref="Z77:AA77"/>
    <mergeCell ref="AB77:AF77"/>
    <mergeCell ref="AG77:AK77"/>
    <mergeCell ref="A78:Y78"/>
    <mergeCell ref="Z78:AA78"/>
    <mergeCell ref="AB78:AF78"/>
    <mergeCell ref="AG78:AK78"/>
    <mergeCell ref="A79:Y79"/>
    <mergeCell ref="Z79:AA79"/>
    <mergeCell ref="AB79:AF79"/>
    <mergeCell ref="AG79:AK79"/>
    <mergeCell ref="A80:Y80"/>
    <mergeCell ref="Z80:AA80"/>
    <mergeCell ref="AB80:AF80"/>
    <mergeCell ref="AG80:AK80"/>
    <mergeCell ref="A81:Y81"/>
    <mergeCell ref="Z81:AA81"/>
    <mergeCell ref="AB81:AF81"/>
    <mergeCell ref="AG81:AK81"/>
    <mergeCell ref="A82:Y82"/>
    <mergeCell ref="Z82:AA82"/>
    <mergeCell ref="AB82:AF82"/>
    <mergeCell ref="AG82:AK82"/>
    <mergeCell ref="A83:Y83"/>
    <mergeCell ref="Z83:AA83"/>
    <mergeCell ref="AB83:AF83"/>
    <mergeCell ref="AG83:AK83"/>
    <mergeCell ref="A84:Y84"/>
    <mergeCell ref="Z84:AA84"/>
    <mergeCell ref="AB84:AF84"/>
    <mergeCell ref="AG84:AK84"/>
    <mergeCell ref="A85:Y85"/>
    <mergeCell ref="Z85:AA85"/>
    <mergeCell ref="AB85:AF85"/>
    <mergeCell ref="AG85:AK85"/>
    <mergeCell ref="A86:Y86"/>
    <mergeCell ref="Z86:AA86"/>
    <mergeCell ref="AB86:AF86"/>
    <mergeCell ref="AG86:AK86"/>
    <mergeCell ref="A87:Y87"/>
    <mergeCell ref="Z87:AA87"/>
    <mergeCell ref="AB87:AF87"/>
    <mergeCell ref="AG87:AK87"/>
    <mergeCell ref="A88:Y88"/>
    <mergeCell ref="Z88:AA88"/>
    <mergeCell ref="AB88:AF88"/>
    <mergeCell ref="AG88:AK88"/>
    <mergeCell ref="A89:Y89"/>
    <mergeCell ref="Z89:AA89"/>
    <mergeCell ref="AB89:AF89"/>
    <mergeCell ref="AG89:AK89"/>
    <mergeCell ref="A90:Y90"/>
    <mergeCell ref="Z90:AA90"/>
    <mergeCell ref="AB90:AF90"/>
    <mergeCell ref="AG90:AK90"/>
    <mergeCell ref="A91:Y91"/>
    <mergeCell ref="Z91:AA91"/>
    <mergeCell ref="AB91:AF91"/>
    <mergeCell ref="AG91:AK91"/>
    <mergeCell ref="A92:Y92"/>
    <mergeCell ref="Z92:AA92"/>
    <mergeCell ref="AB92:AF92"/>
    <mergeCell ref="AG92:AK92"/>
    <mergeCell ref="A93:Y93"/>
    <mergeCell ref="Z93:AA93"/>
    <mergeCell ref="AB93:AF93"/>
    <mergeCell ref="AG93:AK93"/>
    <mergeCell ref="A94:Y94"/>
    <mergeCell ref="Z94:AA94"/>
    <mergeCell ref="AB94:AF94"/>
    <mergeCell ref="AG94:AK94"/>
    <mergeCell ref="A95:Y95"/>
    <mergeCell ref="Z95:AA95"/>
    <mergeCell ref="AB95:AF95"/>
    <mergeCell ref="AG95:AK95"/>
    <mergeCell ref="A96:Y96"/>
    <mergeCell ref="Z96:AA96"/>
    <mergeCell ref="AB96:AF96"/>
    <mergeCell ref="AG96:AK96"/>
    <mergeCell ref="A97:Y97"/>
    <mergeCell ref="Z97:AA97"/>
    <mergeCell ref="AB97:AF97"/>
    <mergeCell ref="AG97:AK97"/>
    <mergeCell ref="A98:Y98"/>
    <mergeCell ref="Z98:AA98"/>
    <mergeCell ref="AB98:AF98"/>
    <mergeCell ref="AG98:AK98"/>
    <mergeCell ref="A99:Y99"/>
    <mergeCell ref="Z99:AA99"/>
    <mergeCell ref="AB99:AF99"/>
    <mergeCell ref="AG99:AK99"/>
    <mergeCell ref="A100:Y100"/>
    <mergeCell ref="Z100:AA100"/>
    <mergeCell ref="AB100:AF100"/>
    <mergeCell ref="AG100:AK100"/>
    <mergeCell ref="A101:Y101"/>
    <mergeCell ref="Z101:AA101"/>
    <mergeCell ref="AB101:AF101"/>
    <mergeCell ref="AG101:AK101"/>
    <mergeCell ref="A102:Y102"/>
    <mergeCell ref="Z102:AA102"/>
    <mergeCell ref="AB102:AF102"/>
    <mergeCell ref="AG102:AK102"/>
    <mergeCell ref="A103:Y103"/>
    <mergeCell ref="Z103:AA103"/>
    <mergeCell ref="AB103:AF103"/>
    <mergeCell ref="AG103:AK103"/>
    <mergeCell ref="A104:Y104"/>
    <mergeCell ref="Z104:AA104"/>
    <mergeCell ref="AB104:AF104"/>
    <mergeCell ref="AG104:AK104"/>
    <mergeCell ref="A105:Y105"/>
    <mergeCell ref="Z105:AA105"/>
    <mergeCell ref="AB105:AF105"/>
    <mergeCell ref="AG105:AK105"/>
    <mergeCell ref="A106:Y106"/>
    <mergeCell ref="Z106:AA106"/>
    <mergeCell ref="AB106:AF106"/>
    <mergeCell ref="AG106:AK106"/>
    <mergeCell ref="A107:Y107"/>
    <mergeCell ref="Z107:AA107"/>
    <mergeCell ref="AB107:AF107"/>
    <mergeCell ref="AG107:AK107"/>
    <mergeCell ref="A108:Y108"/>
    <mergeCell ref="Z108:AA108"/>
    <mergeCell ref="AB108:AF108"/>
    <mergeCell ref="AG108:AK108"/>
    <mergeCell ref="A109:Y109"/>
    <mergeCell ref="Z109:AA109"/>
    <mergeCell ref="AB109:AF109"/>
    <mergeCell ref="AG109:AK109"/>
    <mergeCell ref="A110:Y110"/>
    <mergeCell ref="Z110:AA110"/>
    <mergeCell ref="AB110:AF110"/>
    <mergeCell ref="AG110:AK110"/>
    <mergeCell ref="A111:Y111"/>
    <mergeCell ref="Z111:AA111"/>
    <mergeCell ref="AB111:AF111"/>
    <mergeCell ref="AG111:AK111"/>
    <mergeCell ref="A112:Y112"/>
    <mergeCell ref="Z112:AA112"/>
    <mergeCell ref="AB112:AF112"/>
    <mergeCell ref="AG112:AK112"/>
    <mergeCell ref="A113:Y113"/>
    <mergeCell ref="Z113:AA113"/>
    <mergeCell ref="AB113:AF113"/>
    <mergeCell ref="AG113:AK113"/>
    <mergeCell ref="A114:Y114"/>
    <mergeCell ref="Z114:AA114"/>
    <mergeCell ref="AB114:AF114"/>
    <mergeCell ref="AG114:AK114"/>
    <mergeCell ref="A115:Y115"/>
    <mergeCell ref="Z115:AA115"/>
    <mergeCell ref="AB115:AF115"/>
    <mergeCell ref="AG115:AK115"/>
    <mergeCell ref="A116:Y116"/>
    <mergeCell ref="Z116:AA116"/>
    <mergeCell ref="AB116:AF116"/>
    <mergeCell ref="AG116:AK116"/>
    <mergeCell ref="A117:Y117"/>
    <mergeCell ref="Z117:AA117"/>
    <mergeCell ref="AB117:AF117"/>
    <mergeCell ref="AG117:AK117"/>
    <mergeCell ref="A118:Y118"/>
    <mergeCell ref="Z118:AA118"/>
    <mergeCell ref="AB118:AF118"/>
    <mergeCell ref="AG118:AK118"/>
    <mergeCell ref="A119:Y119"/>
    <mergeCell ref="Z119:AA119"/>
    <mergeCell ref="AB119:AF119"/>
    <mergeCell ref="AG119:AK119"/>
    <mergeCell ref="A120:Y120"/>
    <mergeCell ref="Z120:AA120"/>
    <mergeCell ref="AB120:AF120"/>
    <mergeCell ref="AG120:AK120"/>
    <mergeCell ref="A121:Y121"/>
    <mergeCell ref="Z121:AA121"/>
    <mergeCell ref="AB121:AF121"/>
    <mergeCell ref="AG121:AK121"/>
    <mergeCell ref="A122:Y122"/>
    <mergeCell ref="Z122:AA122"/>
    <mergeCell ref="AB122:AF122"/>
    <mergeCell ref="AG122:AK122"/>
    <mergeCell ref="A123:Y123"/>
    <mergeCell ref="Z123:AA123"/>
    <mergeCell ref="AB123:AF123"/>
    <mergeCell ref="AG123:AK123"/>
    <mergeCell ref="A124:Y124"/>
    <mergeCell ref="Z124:AA124"/>
    <mergeCell ref="AB124:AF124"/>
    <mergeCell ref="AG124:AK124"/>
    <mergeCell ref="A125:Y125"/>
    <mergeCell ref="Z125:AA125"/>
    <mergeCell ref="AB125:AF125"/>
    <mergeCell ref="AG125:AK125"/>
    <mergeCell ref="A126:Y126"/>
    <mergeCell ref="Z126:AA126"/>
    <mergeCell ref="AB126:AF126"/>
    <mergeCell ref="AG126:AK126"/>
    <mergeCell ref="A127:Y127"/>
    <mergeCell ref="Z127:AA127"/>
    <mergeCell ref="AB127:AF127"/>
    <mergeCell ref="AG127:AK127"/>
    <mergeCell ref="A128:Y128"/>
    <mergeCell ref="Z128:AA128"/>
    <mergeCell ref="AB128:AF128"/>
    <mergeCell ref="AG128:AK128"/>
    <mergeCell ref="A129:Y129"/>
    <mergeCell ref="Z129:AA129"/>
    <mergeCell ref="AB129:AF129"/>
    <mergeCell ref="AG129:AK129"/>
    <mergeCell ref="A130:Y130"/>
    <mergeCell ref="Z130:AA130"/>
    <mergeCell ref="AB130:AF130"/>
    <mergeCell ref="AG130:AK130"/>
    <mergeCell ref="A131:Y131"/>
    <mergeCell ref="Z131:AA131"/>
    <mergeCell ref="AB131:AF131"/>
    <mergeCell ref="AG131:AK131"/>
    <mergeCell ref="A132:Y132"/>
    <mergeCell ref="Z132:AA132"/>
    <mergeCell ref="AB132:AF132"/>
    <mergeCell ref="AG132:AK132"/>
    <mergeCell ref="A133:Y133"/>
    <mergeCell ref="Z133:AA133"/>
    <mergeCell ref="AB133:AF133"/>
    <mergeCell ref="AG133:AK133"/>
    <mergeCell ref="A134:Y134"/>
    <mergeCell ref="Z134:AA134"/>
    <mergeCell ref="AB134:AF134"/>
    <mergeCell ref="AG134:AK134"/>
    <mergeCell ref="A135:Y135"/>
    <mergeCell ref="Z135:AA135"/>
    <mergeCell ref="AB135:AF135"/>
    <mergeCell ref="AG135:AK135"/>
    <mergeCell ref="A136:Y136"/>
    <mergeCell ref="Z136:AA136"/>
    <mergeCell ref="AB136:AF136"/>
    <mergeCell ref="AG136:AK136"/>
    <mergeCell ref="A137:Y137"/>
    <mergeCell ref="Z137:AA137"/>
    <mergeCell ref="AB137:AF137"/>
    <mergeCell ref="AG137:AK137"/>
    <mergeCell ref="A138:Y138"/>
    <mergeCell ref="Z138:AA138"/>
    <mergeCell ref="AB138:AF138"/>
    <mergeCell ref="AG138:AK138"/>
    <mergeCell ref="A139:Y139"/>
    <mergeCell ref="Z139:AA139"/>
    <mergeCell ref="AB139:AF139"/>
    <mergeCell ref="AG139:AK139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scale="55"/>
  <headerFooter alignWithMargins="0">
    <oddHeader>&amp;L&amp;14Vámospércs Városi Önkormányzat&amp;R&amp;"Arial,Dőlt"&amp;12 14. számú melléklet</oddHeader>
  </headerFooter>
  <rowBreaks count="1" manualBreakCount="1">
    <brk id="7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43.00390625" style="21" customWidth="1"/>
    <col min="2" max="2" width="8.00390625" style="21" customWidth="1"/>
    <col min="3" max="3" width="9.28125" style="21" customWidth="1"/>
    <col min="4" max="4" width="9.421875" style="21" customWidth="1"/>
    <col min="5" max="7" width="9.140625" style="21" customWidth="1"/>
    <col min="8" max="8" width="8.28125" style="21" customWidth="1"/>
    <col min="9" max="9" width="9.140625" style="21" customWidth="1"/>
    <col min="10" max="10" width="10.00390625" style="21" customWidth="1"/>
    <col min="11" max="11" width="3.7109375" style="21" customWidth="1"/>
    <col min="12" max="12" width="9.140625" style="21" customWidth="1"/>
  </cols>
  <sheetData>
    <row r="1" spans="1:11" ht="12.75" customHeight="1">
      <c r="A1" s="467" t="s">
        <v>648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2.75" customHeight="1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12.75" customHeight="1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1" ht="12.75" customHeight="1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</row>
    <row r="5" spans="1:11" ht="12.75" customHeight="1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</row>
    <row r="6" spans="1:11" ht="12.75">
      <c r="A6" s="493"/>
      <c r="B6" s="493"/>
      <c r="C6" s="493"/>
      <c r="D6" s="493"/>
      <c r="E6" s="493"/>
      <c r="F6" s="493"/>
      <c r="G6" s="493"/>
      <c r="H6" s="493"/>
      <c r="I6" s="493"/>
      <c r="J6" s="493"/>
      <c r="K6" s="493"/>
    </row>
    <row r="7" ht="12.75">
      <c r="J7" s="21" t="s">
        <v>396</v>
      </c>
    </row>
    <row r="8" spans="1:11" ht="12.75" customHeight="1">
      <c r="A8" s="494" t="s">
        <v>31</v>
      </c>
      <c r="B8" s="401" t="s">
        <v>46</v>
      </c>
      <c r="C8" s="401"/>
      <c r="D8" s="401"/>
      <c r="E8" s="401" t="s">
        <v>649</v>
      </c>
      <c r="F8" s="401"/>
      <c r="G8" s="401"/>
      <c r="H8" s="401" t="s">
        <v>650</v>
      </c>
      <c r="I8" s="401"/>
      <c r="J8" s="401"/>
      <c r="K8" s="495"/>
    </row>
    <row r="9" spans="1:11" ht="12.75">
      <c r="A9" s="494"/>
      <c r="B9" s="29" t="s">
        <v>651</v>
      </c>
      <c r="C9" s="496" t="s">
        <v>652</v>
      </c>
      <c r="D9" s="496" t="s">
        <v>653</v>
      </c>
      <c r="E9" s="29" t="s">
        <v>651</v>
      </c>
      <c r="F9" s="496" t="s">
        <v>652</v>
      </c>
      <c r="G9" s="496" t="s">
        <v>653</v>
      </c>
      <c r="H9" s="29" t="s">
        <v>651</v>
      </c>
      <c r="I9" s="496" t="s">
        <v>652</v>
      </c>
      <c r="J9" s="496" t="s">
        <v>653</v>
      </c>
      <c r="K9" s="495"/>
    </row>
    <row r="10" spans="1:11" ht="12.75">
      <c r="A10" s="497" t="s">
        <v>654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.75">
      <c r="A11" s="38" t="s">
        <v>655</v>
      </c>
      <c r="B11" s="38"/>
      <c r="C11" s="38"/>
      <c r="D11" s="38"/>
      <c r="E11" s="38"/>
      <c r="F11" s="38"/>
      <c r="G11" s="38"/>
      <c r="H11" s="38"/>
      <c r="I11" s="38"/>
      <c r="J11" s="38"/>
      <c r="K11" s="58"/>
    </row>
    <row r="12" spans="1:11" ht="12.75">
      <c r="A12" s="38" t="s">
        <v>656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2.75">
      <c r="A13" s="38" t="s">
        <v>657</v>
      </c>
      <c r="B13" s="38">
        <v>3300</v>
      </c>
      <c r="C13" s="38">
        <v>540</v>
      </c>
      <c r="D13" s="38">
        <v>1800</v>
      </c>
      <c r="E13" s="38">
        <v>3300</v>
      </c>
      <c r="F13" s="38">
        <v>540</v>
      </c>
      <c r="G13" s="38">
        <v>1800</v>
      </c>
      <c r="H13" s="38">
        <v>3974</v>
      </c>
      <c r="I13" s="38">
        <v>364</v>
      </c>
      <c r="J13" s="38">
        <v>1461</v>
      </c>
      <c r="K13" s="38"/>
    </row>
    <row r="14" spans="1:11" ht="12.75">
      <c r="A14" s="38" t="s">
        <v>658</v>
      </c>
      <c r="B14" s="38">
        <v>9300</v>
      </c>
      <c r="C14" s="38">
        <v>25</v>
      </c>
      <c r="D14" s="38">
        <v>2325</v>
      </c>
      <c r="E14" s="38">
        <v>9300</v>
      </c>
      <c r="F14" s="38">
        <v>22</v>
      </c>
      <c r="G14" s="38">
        <v>207</v>
      </c>
      <c r="H14" s="38">
        <v>9300</v>
      </c>
      <c r="I14" s="38">
        <v>22</v>
      </c>
      <c r="J14" s="38">
        <v>207</v>
      </c>
      <c r="K14" s="58"/>
    </row>
    <row r="15" spans="1:11" ht="12.75">
      <c r="A15" s="38" t="s">
        <v>659</v>
      </c>
      <c r="B15" s="38"/>
      <c r="C15" s="38"/>
      <c r="D15" s="38"/>
      <c r="E15" s="38"/>
      <c r="F15" s="38"/>
      <c r="G15" s="38">
        <v>8120</v>
      </c>
      <c r="H15" s="38"/>
      <c r="I15" s="38"/>
      <c r="J15" s="38">
        <v>7952</v>
      </c>
      <c r="K15" s="58"/>
    </row>
    <row r="16" spans="1:11" ht="12.75">
      <c r="A16" s="38" t="s">
        <v>660</v>
      </c>
      <c r="B16" s="38"/>
      <c r="C16" s="38"/>
      <c r="D16" s="38"/>
      <c r="E16" s="38"/>
      <c r="F16" s="38"/>
      <c r="G16" s="38">
        <v>551</v>
      </c>
      <c r="H16" s="38"/>
      <c r="I16" s="38"/>
      <c r="J16" s="38">
        <v>300</v>
      </c>
      <c r="K16" s="58"/>
    </row>
    <row r="17" spans="1:11" ht="12.75">
      <c r="A17" s="38" t="s">
        <v>661</v>
      </c>
      <c r="B17" s="38"/>
      <c r="C17" s="38"/>
      <c r="D17" s="38"/>
      <c r="E17" s="38"/>
      <c r="F17" s="38"/>
      <c r="G17" s="38">
        <v>834</v>
      </c>
      <c r="H17" s="38"/>
      <c r="I17" s="38"/>
      <c r="J17" s="38">
        <v>1053</v>
      </c>
      <c r="K17" s="38"/>
    </row>
    <row r="18" spans="1:11" ht="12.75">
      <c r="A18" s="38" t="s">
        <v>662</v>
      </c>
      <c r="B18" s="38"/>
      <c r="C18" s="38"/>
      <c r="D18" s="38"/>
      <c r="E18" s="38"/>
      <c r="F18" s="38"/>
      <c r="G18" s="38">
        <v>2604</v>
      </c>
      <c r="H18" s="38"/>
      <c r="I18" s="38"/>
      <c r="J18" s="38">
        <v>2604</v>
      </c>
      <c r="K18" s="38"/>
    </row>
    <row r="19" spans="1:11" ht="12.75">
      <c r="A19" s="498" t="s">
        <v>663</v>
      </c>
      <c r="B19" s="499"/>
      <c r="C19" s="499">
        <f>SUM(C12:C17)</f>
        <v>565</v>
      </c>
      <c r="D19" s="499">
        <f>SUM(D12:D17)</f>
        <v>4125</v>
      </c>
      <c r="E19" s="499"/>
      <c r="F19" s="499">
        <f>SUM(F12:F17)</f>
        <v>562</v>
      </c>
      <c r="G19" s="499">
        <f>SUM(G12:G18)</f>
        <v>14116</v>
      </c>
      <c r="H19" s="499"/>
      <c r="I19" s="499">
        <f>SUM(I12:I17)</f>
        <v>386</v>
      </c>
      <c r="J19" s="499">
        <f>SUM(J12:J18)</f>
        <v>13577</v>
      </c>
      <c r="K19" s="500"/>
    </row>
    <row r="20" spans="1:11" ht="12.75">
      <c r="A20" s="497" t="s">
        <v>664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>
      <c r="A21" s="38" t="s">
        <v>665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38" t="s">
        <v>666</v>
      </c>
      <c r="B22" s="38"/>
      <c r="C22" s="38"/>
      <c r="D22" s="38">
        <v>7400</v>
      </c>
      <c r="E22" s="38"/>
      <c r="F22" s="38"/>
      <c r="G22" s="38">
        <v>7400</v>
      </c>
      <c r="H22" s="38"/>
      <c r="I22" s="38"/>
      <c r="J22" s="38">
        <v>6761</v>
      </c>
      <c r="K22" s="58"/>
    </row>
    <row r="23" spans="1:11" ht="12.75">
      <c r="A23" s="38" t="s">
        <v>667</v>
      </c>
      <c r="B23" s="38">
        <v>93000</v>
      </c>
      <c r="C23" s="38">
        <v>10</v>
      </c>
      <c r="D23" s="38">
        <v>930</v>
      </c>
      <c r="E23" s="38">
        <v>93000</v>
      </c>
      <c r="F23" s="38">
        <v>10</v>
      </c>
      <c r="G23" s="38">
        <v>930</v>
      </c>
      <c r="H23" s="38">
        <v>89000</v>
      </c>
      <c r="I23" s="38">
        <v>5</v>
      </c>
      <c r="J23" s="38">
        <v>445</v>
      </c>
      <c r="K23" s="38"/>
    </row>
    <row r="24" spans="1:11" ht="12.75">
      <c r="A24" s="38" t="s">
        <v>668</v>
      </c>
      <c r="B24" s="38">
        <v>26000</v>
      </c>
      <c r="C24" s="38">
        <v>150</v>
      </c>
      <c r="D24" s="38">
        <v>3900</v>
      </c>
      <c r="E24" s="38">
        <v>26000</v>
      </c>
      <c r="F24" s="38">
        <v>150</v>
      </c>
      <c r="G24" s="38">
        <v>3900</v>
      </c>
      <c r="H24" s="38"/>
      <c r="I24" s="38"/>
      <c r="J24" s="38">
        <v>3746</v>
      </c>
      <c r="K24" s="38"/>
    </row>
    <row r="25" spans="1:11" ht="12.75">
      <c r="A25" s="498" t="s">
        <v>669</v>
      </c>
      <c r="B25" s="499"/>
      <c r="C25" s="499"/>
      <c r="D25" s="499">
        <f>SUM(D11,D12,D22,D23,D24)</f>
        <v>12230</v>
      </c>
      <c r="E25" s="499"/>
      <c r="F25" s="499"/>
      <c r="G25" s="499">
        <f>SUM(G11,G12,G22,G23,G24)</f>
        <v>12230</v>
      </c>
      <c r="H25" s="499"/>
      <c r="I25" s="499">
        <v>461</v>
      </c>
      <c r="J25" s="499">
        <f>SUM(J11,J12,J22,J23,J24)</f>
        <v>10952</v>
      </c>
      <c r="K25" s="500"/>
    </row>
    <row r="26" spans="1:11" ht="12.75">
      <c r="A26" s="497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>
      <c r="A28" s="40" t="s">
        <v>670</v>
      </c>
      <c r="B28" s="499"/>
      <c r="C28" s="499"/>
      <c r="D28" s="499">
        <f>SUM(D19,D25)</f>
        <v>16355</v>
      </c>
      <c r="E28" s="499"/>
      <c r="F28" s="499"/>
      <c r="G28" s="499">
        <f>SUM(G19,G25)</f>
        <v>26346</v>
      </c>
      <c r="H28" s="499"/>
      <c r="I28" s="499"/>
      <c r="J28" s="499">
        <f>SUM(J19,J25)</f>
        <v>24529</v>
      </c>
      <c r="K28" s="500"/>
    </row>
    <row r="29" spans="1:11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</sheetData>
  <sheetProtection selectLockedCells="1" selectUnlockedCells="1"/>
  <mergeCells count="6">
    <mergeCell ref="A1:K2"/>
    <mergeCell ref="A8:A9"/>
    <mergeCell ref="B8:D8"/>
    <mergeCell ref="E8:G8"/>
    <mergeCell ref="H8:J8"/>
    <mergeCell ref="K8:K9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/>
  <headerFooter alignWithMargins="0">
    <oddHeader>&amp;L&amp;12Vámospércs Városi Önkormányzat&amp;R&amp;"Arial,Dőlt"&amp;12 1. számú tájékoztató tábla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F21" sqref="F21"/>
    </sheetView>
  </sheetViews>
  <sheetFormatPr defaultColWidth="9.140625" defaultRowHeight="12.75"/>
  <cols>
    <col min="1" max="1" width="38.57421875" style="21" customWidth="1"/>
    <col min="2" max="2" width="9.00390625" style="21" customWidth="1"/>
    <col min="3" max="3" width="6.57421875" style="21" customWidth="1"/>
    <col min="4" max="4" width="9.57421875" style="21" customWidth="1"/>
    <col min="5" max="13" width="9.140625" style="21" customWidth="1"/>
  </cols>
  <sheetData>
    <row r="1" spans="1:12" ht="12.75" customHeight="1">
      <c r="A1" s="19" t="s">
        <v>671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</row>
    <row r="4" spans="1:12" ht="12.75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</row>
    <row r="7" spans="1:12" ht="12.75" customHeight="1">
      <c r="A7" s="501" t="s">
        <v>31</v>
      </c>
      <c r="B7" s="502" t="s">
        <v>672</v>
      </c>
      <c r="C7" s="502"/>
      <c r="D7" s="502"/>
      <c r="E7" s="502" t="s">
        <v>176</v>
      </c>
      <c r="F7" s="502"/>
      <c r="G7" s="502"/>
      <c r="H7" s="502" t="s">
        <v>673</v>
      </c>
      <c r="I7" s="502"/>
      <c r="J7" s="502"/>
      <c r="K7" s="399" t="s">
        <v>674</v>
      </c>
      <c r="L7" s="399" t="s">
        <v>675</v>
      </c>
    </row>
    <row r="8" spans="1:12" ht="12.75" customHeight="1">
      <c r="A8" s="501"/>
      <c r="B8" s="502"/>
      <c r="C8" s="502"/>
      <c r="D8" s="502"/>
      <c r="E8" s="502"/>
      <c r="F8" s="502"/>
      <c r="G8" s="502"/>
      <c r="H8" s="502"/>
      <c r="I8" s="502"/>
      <c r="J8" s="502"/>
      <c r="K8" s="399"/>
      <c r="L8" s="399"/>
    </row>
    <row r="9" spans="1:12" ht="12.75" customHeight="1">
      <c r="A9" s="501"/>
      <c r="B9" s="503" t="s">
        <v>676</v>
      </c>
      <c r="C9" s="503" t="s">
        <v>677</v>
      </c>
      <c r="D9" s="503" t="s">
        <v>653</v>
      </c>
      <c r="E9" s="503" t="s">
        <v>676</v>
      </c>
      <c r="F9" s="503" t="s">
        <v>677</v>
      </c>
      <c r="G9" s="503" t="s">
        <v>653</v>
      </c>
      <c r="H9" s="503" t="s">
        <v>676</v>
      </c>
      <c r="I9" s="503" t="s">
        <v>677</v>
      </c>
      <c r="J9" s="503" t="s">
        <v>653</v>
      </c>
      <c r="K9" s="399"/>
      <c r="L9" s="399"/>
    </row>
    <row r="10" spans="1:12" ht="12.75" customHeight="1">
      <c r="A10" s="501"/>
      <c r="B10" s="503"/>
      <c r="C10" s="503"/>
      <c r="D10" s="503"/>
      <c r="E10" s="503"/>
      <c r="F10" s="503"/>
      <c r="G10" s="503"/>
      <c r="H10" s="503"/>
      <c r="I10" s="503"/>
      <c r="J10" s="503"/>
      <c r="K10" s="399"/>
      <c r="L10" s="399"/>
    </row>
    <row r="11" spans="1:12" ht="12.75" customHeight="1">
      <c r="A11" s="501"/>
      <c r="B11" s="503"/>
      <c r="C11" s="503"/>
      <c r="D11" s="503"/>
      <c r="E11" s="503"/>
      <c r="F11" s="503"/>
      <c r="G11" s="503"/>
      <c r="H11" s="503"/>
      <c r="I11" s="503"/>
      <c r="J11" s="503"/>
      <c r="K11" s="399"/>
      <c r="L11" s="399"/>
    </row>
    <row r="12" spans="1:12" ht="12.75" customHeight="1">
      <c r="A12" s="36" t="s">
        <v>678</v>
      </c>
      <c r="B12" s="36">
        <v>22800</v>
      </c>
      <c r="C12" s="36">
        <v>3</v>
      </c>
      <c r="D12" s="36">
        <v>820</v>
      </c>
      <c r="E12" s="36">
        <v>22800</v>
      </c>
      <c r="F12" s="36">
        <v>3</v>
      </c>
      <c r="G12" s="36">
        <v>320</v>
      </c>
      <c r="H12" s="36">
        <v>22800</v>
      </c>
      <c r="I12" s="36">
        <v>1</v>
      </c>
      <c r="J12" s="36">
        <v>274</v>
      </c>
      <c r="K12" s="36"/>
      <c r="L12" s="300">
        <f>J12*90/100</f>
        <v>246.6</v>
      </c>
    </row>
    <row r="13" spans="1:12" ht="12.75">
      <c r="A13" s="36" t="s">
        <v>679</v>
      </c>
      <c r="B13" s="36">
        <v>27075</v>
      </c>
      <c r="C13" s="36">
        <v>6</v>
      </c>
      <c r="D13" s="36">
        <v>1949</v>
      </c>
      <c r="E13" s="36">
        <v>27075</v>
      </c>
      <c r="F13" s="36">
        <v>6</v>
      </c>
      <c r="G13" s="36">
        <v>1204</v>
      </c>
      <c r="H13" s="36">
        <v>27075</v>
      </c>
      <c r="I13" s="36">
        <v>5</v>
      </c>
      <c r="J13" s="36">
        <v>975</v>
      </c>
      <c r="K13" s="36"/>
      <c r="L13" s="300">
        <f aca="true" t="shared" si="0" ref="L13:L32">J13*90/100</f>
        <v>877.5</v>
      </c>
    </row>
    <row r="14" spans="1:12" ht="12.75" customHeight="1">
      <c r="A14" s="36" t="s">
        <v>680</v>
      </c>
      <c r="B14" s="36">
        <v>27075</v>
      </c>
      <c r="C14" s="36">
        <v>1</v>
      </c>
      <c r="D14" s="36">
        <v>324</v>
      </c>
      <c r="E14" s="36">
        <v>27075</v>
      </c>
      <c r="F14" s="36">
        <v>1</v>
      </c>
      <c r="G14" s="36">
        <v>324</v>
      </c>
      <c r="H14" s="36">
        <v>27075</v>
      </c>
      <c r="I14" s="36">
        <v>1</v>
      </c>
      <c r="J14" s="36">
        <v>325</v>
      </c>
      <c r="K14" s="36"/>
      <c r="L14" s="300">
        <f t="shared" si="0"/>
        <v>292.5</v>
      </c>
    </row>
    <row r="15" spans="1:12" ht="12.75">
      <c r="A15" s="36" t="s">
        <v>681</v>
      </c>
      <c r="B15" s="36">
        <v>37050</v>
      </c>
      <c r="C15" s="36">
        <v>1</v>
      </c>
      <c r="D15" s="36">
        <v>445</v>
      </c>
      <c r="E15" s="36">
        <v>37050</v>
      </c>
      <c r="F15" s="36">
        <v>1</v>
      </c>
      <c r="G15" s="36">
        <v>445</v>
      </c>
      <c r="H15" s="36">
        <v>29958</v>
      </c>
      <c r="I15" s="36">
        <v>2</v>
      </c>
      <c r="J15" s="36">
        <v>719</v>
      </c>
      <c r="K15" s="36"/>
      <c r="L15" s="300">
        <f t="shared" si="0"/>
        <v>647.1</v>
      </c>
    </row>
    <row r="16" spans="1:12" ht="12.75">
      <c r="A16" s="504" t="s">
        <v>682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00">
        <f t="shared" si="0"/>
        <v>0</v>
      </c>
    </row>
    <row r="17" spans="1:12" ht="12.75">
      <c r="A17" s="504" t="s">
        <v>683</v>
      </c>
      <c r="B17" s="36"/>
      <c r="C17" s="36"/>
      <c r="D17" s="36"/>
      <c r="E17" s="36"/>
      <c r="F17" s="36"/>
      <c r="G17" s="36">
        <v>19648</v>
      </c>
      <c r="H17" s="36"/>
      <c r="I17" s="36">
        <v>71</v>
      </c>
      <c r="J17" s="36">
        <v>27205</v>
      </c>
      <c r="K17" s="36"/>
      <c r="L17" s="300">
        <f t="shared" si="0"/>
        <v>24484.5</v>
      </c>
    </row>
    <row r="18" spans="1:12" ht="12.75">
      <c r="A18" s="36" t="s">
        <v>684</v>
      </c>
      <c r="B18" s="36"/>
      <c r="C18" s="36">
        <v>16</v>
      </c>
      <c r="D18" s="36">
        <v>540</v>
      </c>
      <c r="E18" s="36"/>
      <c r="F18" s="36">
        <v>16</v>
      </c>
      <c r="G18" s="36">
        <v>540</v>
      </c>
      <c r="H18" s="36"/>
      <c r="I18" s="36">
        <v>1</v>
      </c>
      <c r="J18" s="36">
        <v>391</v>
      </c>
      <c r="K18" s="36"/>
      <c r="L18" s="300">
        <f t="shared" si="0"/>
        <v>351.9</v>
      </c>
    </row>
    <row r="19" spans="1:12" ht="12.75">
      <c r="A19" s="36" t="s">
        <v>685</v>
      </c>
      <c r="B19" s="36"/>
      <c r="C19" s="36">
        <v>50</v>
      </c>
      <c r="D19" s="36">
        <v>3206</v>
      </c>
      <c r="E19" s="36"/>
      <c r="F19" s="36">
        <v>50</v>
      </c>
      <c r="G19" s="36">
        <v>3206</v>
      </c>
      <c r="H19" s="36"/>
      <c r="I19" s="36">
        <v>5</v>
      </c>
      <c r="J19" s="36">
        <v>474</v>
      </c>
      <c r="K19" s="36"/>
      <c r="L19" s="300">
        <f t="shared" si="0"/>
        <v>426.6</v>
      </c>
    </row>
    <row r="20" spans="1:12" ht="12.75">
      <c r="A20" s="36" t="s">
        <v>686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00">
        <f t="shared" si="0"/>
        <v>0</v>
      </c>
    </row>
    <row r="21" spans="1:12" ht="12.75">
      <c r="A21" s="36" t="s">
        <v>687</v>
      </c>
      <c r="B21" s="36"/>
      <c r="C21" s="36">
        <v>10</v>
      </c>
      <c r="D21" s="36">
        <v>2898</v>
      </c>
      <c r="E21" s="36"/>
      <c r="F21" s="36">
        <v>10</v>
      </c>
      <c r="G21" s="36">
        <v>2898</v>
      </c>
      <c r="H21" s="36"/>
      <c r="I21" s="36">
        <v>11</v>
      </c>
      <c r="J21" s="36">
        <v>2966</v>
      </c>
      <c r="K21" s="36"/>
      <c r="L21" s="300">
        <f t="shared" si="0"/>
        <v>2669.4</v>
      </c>
    </row>
    <row r="22" spans="1:12" ht="12.75">
      <c r="A22" s="36" t="s">
        <v>688</v>
      </c>
      <c r="B22" s="36"/>
      <c r="C22" s="36">
        <v>31</v>
      </c>
      <c r="D22" s="36">
        <v>10536</v>
      </c>
      <c r="E22" s="36"/>
      <c r="F22" s="36">
        <v>31</v>
      </c>
      <c r="G22" s="36">
        <v>10536</v>
      </c>
      <c r="H22" s="36"/>
      <c r="I22" s="36">
        <v>22</v>
      </c>
      <c r="J22" s="36">
        <v>7379</v>
      </c>
      <c r="K22" s="36"/>
      <c r="L22" s="300">
        <f t="shared" si="0"/>
        <v>6641.1</v>
      </c>
    </row>
    <row r="23" spans="1:12" ht="12.75">
      <c r="A23" s="36" t="s">
        <v>689</v>
      </c>
      <c r="B23" s="36"/>
      <c r="C23" s="36">
        <v>5</v>
      </c>
      <c r="D23" s="36">
        <v>1800</v>
      </c>
      <c r="E23" s="36"/>
      <c r="F23" s="36">
        <v>5</v>
      </c>
      <c r="G23" s="36">
        <v>1800</v>
      </c>
      <c r="H23" s="36"/>
      <c r="I23" s="36">
        <v>1</v>
      </c>
      <c r="J23" s="36">
        <v>213</v>
      </c>
      <c r="K23" s="36"/>
      <c r="L23" s="300">
        <f t="shared" si="0"/>
        <v>191.7</v>
      </c>
    </row>
    <row r="24" spans="1:12" ht="12.75">
      <c r="A24" s="36" t="s">
        <v>690</v>
      </c>
      <c r="B24" s="36">
        <v>28500</v>
      </c>
      <c r="C24" s="36">
        <v>225</v>
      </c>
      <c r="D24" s="36">
        <v>76950</v>
      </c>
      <c r="E24" s="36">
        <v>28500</v>
      </c>
      <c r="F24" s="36">
        <v>217</v>
      </c>
      <c r="G24" s="36">
        <v>77357</v>
      </c>
      <c r="H24" s="36">
        <v>28500</v>
      </c>
      <c r="I24" s="36">
        <f>165+43+9</f>
        <v>217</v>
      </c>
      <c r="J24" s="36">
        <v>77357</v>
      </c>
      <c r="K24" s="36">
        <f>J24*80/100</f>
        <v>61885.6</v>
      </c>
      <c r="L24" s="300"/>
    </row>
    <row r="25" spans="1:12" ht="12.75">
      <c r="A25" s="36" t="s">
        <v>691</v>
      </c>
      <c r="B25" s="36">
        <v>28500</v>
      </c>
      <c r="C25" s="36">
        <v>10</v>
      </c>
      <c r="D25" s="36">
        <v>3420</v>
      </c>
      <c r="E25" s="36">
        <v>28500</v>
      </c>
      <c r="F25" s="36">
        <v>10</v>
      </c>
      <c r="G25" s="36">
        <v>3420</v>
      </c>
      <c r="H25" s="36">
        <v>28500</v>
      </c>
      <c r="I25" s="36">
        <v>10</v>
      </c>
      <c r="J25" s="36">
        <v>3480</v>
      </c>
      <c r="K25" s="36"/>
      <c r="L25" s="300">
        <f t="shared" si="0"/>
        <v>3132</v>
      </c>
    </row>
    <row r="26" spans="1:12" ht="12.75">
      <c r="A26" s="504" t="s">
        <v>692</v>
      </c>
      <c r="B26" s="36">
        <v>6840</v>
      </c>
      <c r="C26" s="36"/>
      <c r="D26" s="36">
        <v>821</v>
      </c>
      <c r="E26" s="36">
        <v>6840</v>
      </c>
      <c r="F26" s="36"/>
      <c r="G26" s="36">
        <v>821</v>
      </c>
      <c r="H26" s="36">
        <v>6840</v>
      </c>
      <c r="I26" s="36"/>
      <c r="J26" s="36">
        <v>835</v>
      </c>
      <c r="K26" s="36"/>
      <c r="L26" s="300">
        <f t="shared" si="0"/>
        <v>751.5</v>
      </c>
    </row>
    <row r="27" spans="1:12" ht="12.75">
      <c r="A27" s="36" t="s">
        <v>693</v>
      </c>
      <c r="B27" s="36">
        <v>37050</v>
      </c>
      <c r="C27" s="36">
        <v>17</v>
      </c>
      <c r="D27" s="36">
        <v>7558</v>
      </c>
      <c r="E27" s="36">
        <v>37050</v>
      </c>
      <c r="F27" s="36">
        <v>16</v>
      </c>
      <c r="G27" s="36">
        <v>6149</v>
      </c>
      <c r="H27" s="36">
        <v>37050</v>
      </c>
      <c r="I27" s="36">
        <v>16</v>
      </c>
      <c r="J27" s="36">
        <v>5892</v>
      </c>
      <c r="K27" s="36"/>
      <c r="L27" s="300">
        <f t="shared" si="0"/>
        <v>5302.8</v>
      </c>
    </row>
    <row r="28" spans="1:12" ht="12.75">
      <c r="A28" s="504" t="s">
        <v>694</v>
      </c>
      <c r="B28" s="36">
        <v>8892</v>
      </c>
      <c r="C28" s="36"/>
      <c r="D28" s="36">
        <v>1814</v>
      </c>
      <c r="E28" s="36">
        <v>8892</v>
      </c>
      <c r="F28" s="36"/>
      <c r="G28" s="36">
        <v>1814</v>
      </c>
      <c r="H28" s="36">
        <v>8892</v>
      </c>
      <c r="I28" s="36"/>
      <c r="J28" s="36">
        <v>1814</v>
      </c>
      <c r="K28" s="36"/>
      <c r="L28" s="300">
        <f t="shared" si="0"/>
        <v>1632.6</v>
      </c>
    </row>
    <row r="29" spans="1:12" ht="12.75">
      <c r="A29" s="36" t="s">
        <v>695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00">
        <f t="shared" si="0"/>
        <v>0</v>
      </c>
    </row>
    <row r="30" spans="1:12" ht="12.75">
      <c r="A30" s="36" t="s">
        <v>696</v>
      </c>
      <c r="B30" s="36">
        <v>22800</v>
      </c>
      <c r="C30" s="36">
        <v>29</v>
      </c>
      <c r="D30" s="36">
        <v>7934</v>
      </c>
      <c r="E30" s="36">
        <v>22800</v>
      </c>
      <c r="F30" s="36">
        <v>29</v>
      </c>
      <c r="G30" s="36">
        <v>7934</v>
      </c>
      <c r="H30" s="36">
        <v>22800</v>
      </c>
      <c r="I30" s="36">
        <v>31</v>
      </c>
      <c r="J30" s="36">
        <v>8388</v>
      </c>
      <c r="K30" s="36"/>
      <c r="L30" s="300"/>
    </row>
    <row r="31" spans="1:12" ht="12.75">
      <c r="A31" s="504" t="s">
        <v>697</v>
      </c>
      <c r="B31" s="36">
        <v>5472</v>
      </c>
      <c r="C31" s="36"/>
      <c r="D31" s="36">
        <v>1904</v>
      </c>
      <c r="E31" s="36">
        <v>5472</v>
      </c>
      <c r="F31" s="36"/>
      <c r="G31" s="36">
        <v>1904</v>
      </c>
      <c r="H31" s="36">
        <v>5472</v>
      </c>
      <c r="I31" s="36"/>
      <c r="J31" s="36">
        <f>4253-1814-835</f>
        <v>1604</v>
      </c>
      <c r="K31" s="36"/>
      <c r="L31" s="300"/>
    </row>
    <row r="32" spans="1:12" ht="12.75">
      <c r="A32" s="36" t="s">
        <v>698</v>
      </c>
      <c r="B32" s="36"/>
      <c r="C32" s="36">
        <v>490</v>
      </c>
      <c r="D32" s="36">
        <v>31510</v>
      </c>
      <c r="E32" s="36"/>
      <c r="F32" s="36">
        <v>490</v>
      </c>
      <c r="G32" s="36">
        <v>31510</v>
      </c>
      <c r="H32" s="36"/>
      <c r="I32" s="36">
        <v>462</v>
      </c>
      <c r="J32" s="36">
        <v>30937</v>
      </c>
      <c r="K32" s="36"/>
      <c r="L32" s="300">
        <f t="shared" si="0"/>
        <v>27843.3</v>
      </c>
    </row>
    <row r="33" spans="1:12" ht="12.75">
      <c r="A33" s="41" t="s">
        <v>316</v>
      </c>
      <c r="B33" s="41"/>
      <c r="C33" s="41">
        <f>SUM(C12:C32)</f>
        <v>894</v>
      </c>
      <c r="D33" s="41">
        <f>SUM(D12:D32)</f>
        <v>154429</v>
      </c>
      <c r="E33" s="41"/>
      <c r="F33" s="41">
        <f>SUM(F12:F32)</f>
        <v>885</v>
      </c>
      <c r="G33" s="41">
        <f>SUM(G12:G32)</f>
        <v>171830</v>
      </c>
      <c r="H33" s="41"/>
      <c r="I33" s="41">
        <f>SUM(I12:I32)</f>
        <v>856</v>
      </c>
      <c r="J33" s="41">
        <f>SUM(J12:J32)</f>
        <v>171228</v>
      </c>
      <c r="K33" s="41">
        <f>SUM(K12:K32)</f>
        <v>61885.6</v>
      </c>
      <c r="L33" s="41">
        <f>SUM(L12:L32)</f>
        <v>75491.1</v>
      </c>
    </row>
    <row r="34" spans="1:12" ht="12.75">
      <c r="A34" s="22" t="s">
        <v>699</v>
      </c>
      <c r="B34" s="22"/>
      <c r="C34" s="22"/>
      <c r="D34" s="22">
        <f>SUM(D12:D25,D27,D30,D32)</f>
        <v>149890</v>
      </c>
      <c r="E34" s="22"/>
      <c r="F34" s="22"/>
      <c r="G34" s="22">
        <f>SUM(G12:G25,G27,G30,G32)</f>
        <v>167291</v>
      </c>
      <c r="H34" s="22"/>
      <c r="I34" s="22"/>
      <c r="J34" s="22">
        <f>SUM(J12:J25,J27,J30,J32)</f>
        <v>166975</v>
      </c>
      <c r="K34" s="22"/>
      <c r="L34" s="22"/>
    </row>
    <row r="35" spans="1:11" ht="12.75">
      <c r="A35" s="22" t="s">
        <v>700</v>
      </c>
      <c r="B35" s="22"/>
      <c r="C35" s="22"/>
      <c r="D35" s="22">
        <f>SUM(D26,D28,D31)</f>
        <v>4539</v>
      </c>
      <c r="E35" s="22"/>
      <c r="F35" s="22"/>
      <c r="G35" s="22">
        <f>SUM(G26,G28,G31)</f>
        <v>4539</v>
      </c>
      <c r="H35" s="22"/>
      <c r="I35" s="22"/>
      <c r="J35" s="22">
        <f>SUM(J26,J28,J31)</f>
        <v>4253</v>
      </c>
      <c r="K35" s="22"/>
    </row>
  </sheetData>
  <sheetProtection selectLockedCells="1" selectUnlockedCells="1"/>
  <mergeCells count="16">
    <mergeCell ref="A1:L2"/>
    <mergeCell ref="A7:A11"/>
    <mergeCell ref="B7:D8"/>
    <mergeCell ref="E7:G8"/>
    <mergeCell ref="H7:J8"/>
    <mergeCell ref="K7:K11"/>
    <mergeCell ref="L7:L11"/>
    <mergeCell ref="B9:B11"/>
    <mergeCell ref="C9:C11"/>
    <mergeCell ref="D9:D11"/>
    <mergeCell ref="E9:E11"/>
    <mergeCell ref="F9:F11"/>
    <mergeCell ref="G9:G11"/>
    <mergeCell ref="H9:H11"/>
    <mergeCell ref="I9:I11"/>
    <mergeCell ref="J9:J11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96"/>
  <headerFooter alignWithMargins="0">
    <oddHeader>&amp;L&amp;12Vámospércs Városi Önkormányzat&amp;R&amp;"Arial,Dőlt"&amp;12 2.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D28" sqref="D28"/>
    </sheetView>
  </sheetViews>
  <sheetFormatPr defaultColWidth="9.140625" defaultRowHeight="12.75"/>
  <cols>
    <col min="1" max="1" width="43.28125" style="21" customWidth="1"/>
    <col min="2" max="4" width="10.28125" style="22" customWidth="1"/>
    <col min="5" max="5" width="10.28125" style="23" customWidth="1"/>
  </cols>
  <sheetData>
    <row r="1" spans="1:5" ht="15.75" customHeight="1">
      <c r="A1" s="505" t="s">
        <v>701</v>
      </c>
      <c r="B1" s="505"/>
      <c r="C1" s="505"/>
      <c r="D1" s="505"/>
      <c r="E1" s="505"/>
    </row>
    <row r="2" spans="2:5" ht="12.75">
      <c r="B2" s="506"/>
      <c r="C2" s="506"/>
      <c r="D2" s="506"/>
      <c r="E2" s="506"/>
    </row>
    <row r="3" spans="2:5" ht="12.75">
      <c r="B3" s="474"/>
      <c r="C3" s="474"/>
      <c r="D3" s="474"/>
      <c r="E3" s="507" t="s">
        <v>486</v>
      </c>
    </row>
    <row r="4" spans="1:5" ht="12.75">
      <c r="A4" s="508" t="s">
        <v>31</v>
      </c>
      <c r="B4" s="509" t="s">
        <v>702</v>
      </c>
      <c r="C4" s="509" t="s">
        <v>703</v>
      </c>
      <c r="D4" s="509" t="s">
        <v>177</v>
      </c>
      <c r="E4" s="510" t="s">
        <v>704</v>
      </c>
    </row>
    <row r="5" spans="1:5" ht="12.75">
      <c r="A5" s="511" t="s">
        <v>705</v>
      </c>
      <c r="B5" s="35">
        <f>SUM(B6,B58)</f>
        <v>13972</v>
      </c>
      <c r="C5" s="35">
        <f>SUM(C6,C58)</f>
        <v>13427</v>
      </c>
      <c r="D5" s="35">
        <f>SUM(D6,D58)</f>
        <v>11320</v>
      </c>
      <c r="E5" s="32">
        <f>D5/C5*100</f>
        <v>84.30773813956952</v>
      </c>
    </row>
    <row r="6" spans="1:5" ht="12.75">
      <c r="A6" s="511" t="s">
        <v>706</v>
      </c>
      <c r="B6" s="35">
        <f>SUM(B7,B36)</f>
        <v>13972</v>
      </c>
      <c r="C6" s="35">
        <f>SUM(C7,C36)</f>
        <v>13413</v>
      </c>
      <c r="D6" s="35">
        <f>SUM(D7,D36)</f>
        <v>11306</v>
      </c>
      <c r="E6" s="32">
        <f aca="true" t="shared" si="0" ref="E6:E61">D6/C6*100</f>
        <v>84.29135912920302</v>
      </c>
    </row>
    <row r="7" spans="1:5" ht="12.75">
      <c r="A7" s="511" t="s">
        <v>707</v>
      </c>
      <c r="B7" s="48">
        <f>SUM(B8:B34)</f>
        <v>13972</v>
      </c>
      <c r="C7" s="48">
        <f>SUM(C8:C34)</f>
        <v>13389</v>
      </c>
      <c r="D7" s="48">
        <f>SUM(D8:D34)</f>
        <v>11282</v>
      </c>
      <c r="E7" s="32">
        <f t="shared" si="0"/>
        <v>84.26320113526029</v>
      </c>
    </row>
    <row r="8" spans="1:5" ht="12.75">
      <c r="A8" s="512" t="s">
        <v>708</v>
      </c>
      <c r="B8" s="513"/>
      <c r="C8" s="513">
        <v>100</v>
      </c>
      <c r="D8" s="513">
        <v>100</v>
      </c>
      <c r="E8" s="32">
        <f t="shared" si="0"/>
        <v>100</v>
      </c>
    </row>
    <row r="9" spans="1:5" ht="12.75">
      <c r="A9" s="512" t="s">
        <v>709</v>
      </c>
      <c r="B9" s="513"/>
      <c r="C9" s="513"/>
      <c r="D9" s="513"/>
      <c r="E9" s="32"/>
    </row>
    <row r="10" spans="1:5" ht="12.75">
      <c r="A10" s="512" t="s">
        <v>710</v>
      </c>
      <c r="B10" s="513"/>
      <c r="C10" s="513">
        <v>1500</v>
      </c>
      <c r="D10" s="513">
        <v>300</v>
      </c>
      <c r="E10" s="32">
        <f t="shared" si="0"/>
        <v>20</v>
      </c>
    </row>
    <row r="11" spans="1:5" ht="12.75">
      <c r="A11" s="512" t="s">
        <v>711</v>
      </c>
      <c r="B11" s="513"/>
      <c r="C11" s="513">
        <v>50</v>
      </c>
      <c r="D11" s="513">
        <v>50</v>
      </c>
      <c r="E11" s="32">
        <f t="shared" si="0"/>
        <v>100</v>
      </c>
    </row>
    <row r="12" spans="1:5" ht="12.75">
      <c r="A12" s="512" t="s">
        <v>712</v>
      </c>
      <c r="B12" s="513"/>
      <c r="C12" s="513"/>
      <c r="D12" s="513"/>
      <c r="E12" s="32"/>
    </row>
    <row r="13" spans="1:5" ht="12.75">
      <c r="A13" s="512" t="s">
        <v>713</v>
      </c>
      <c r="B13" s="513"/>
      <c r="C13" s="513"/>
      <c r="D13" s="513"/>
      <c r="E13" s="32"/>
    </row>
    <row r="14" spans="1:5" ht="12.75">
      <c r="A14" s="512" t="s">
        <v>714</v>
      </c>
      <c r="B14" s="513"/>
      <c r="C14" s="513">
        <v>100</v>
      </c>
      <c r="D14" s="513">
        <v>100</v>
      </c>
      <c r="E14" s="32">
        <f t="shared" si="0"/>
        <v>100</v>
      </c>
    </row>
    <row r="15" spans="1:5" ht="12.75">
      <c r="A15" s="512" t="s">
        <v>715</v>
      </c>
      <c r="B15" s="513"/>
      <c r="C15" s="513">
        <v>120</v>
      </c>
      <c r="D15" s="513">
        <v>120</v>
      </c>
      <c r="E15" s="32">
        <f t="shared" si="0"/>
        <v>100</v>
      </c>
    </row>
    <row r="16" spans="1:5" ht="12.75">
      <c r="A16" s="512" t="s">
        <v>716</v>
      </c>
      <c r="B16" s="513"/>
      <c r="C16" s="513">
        <v>30</v>
      </c>
      <c r="D16" s="513">
        <v>30</v>
      </c>
      <c r="E16" s="32">
        <f t="shared" si="0"/>
        <v>100</v>
      </c>
    </row>
    <row r="17" spans="1:5" ht="12.75">
      <c r="A17" s="512" t="s">
        <v>717</v>
      </c>
      <c r="B17" s="513">
        <v>330</v>
      </c>
      <c r="C17" s="513">
        <v>326</v>
      </c>
      <c r="D17" s="513">
        <v>326</v>
      </c>
      <c r="E17" s="32">
        <f t="shared" si="0"/>
        <v>100</v>
      </c>
    </row>
    <row r="18" spans="1:5" ht="12.75">
      <c r="A18" s="512" t="s">
        <v>718</v>
      </c>
      <c r="B18" s="513"/>
      <c r="C18" s="513"/>
      <c r="D18" s="513"/>
      <c r="E18" s="32"/>
    </row>
    <row r="19" spans="1:5" ht="12.75">
      <c r="A19" s="512" t="s">
        <v>719</v>
      </c>
      <c r="B19" s="513"/>
      <c r="C19" s="513">
        <v>50</v>
      </c>
      <c r="D19" s="513"/>
      <c r="E19" s="32">
        <f t="shared" si="0"/>
        <v>0</v>
      </c>
    </row>
    <row r="20" spans="1:5" ht="12.75">
      <c r="A20" s="512" t="s">
        <v>720</v>
      </c>
      <c r="B20" s="513">
        <v>150</v>
      </c>
      <c r="C20" s="513">
        <v>165</v>
      </c>
      <c r="D20" s="513">
        <v>165</v>
      </c>
      <c r="E20" s="32">
        <f t="shared" si="0"/>
        <v>100</v>
      </c>
    </row>
    <row r="21" spans="1:5" ht="12.75">
      <c r="A21" s="512" t="s">
        <v>721</v>
      </c>
      <c r="B21" s="513"/>
      <c r="C21" s="513">
        <v>250</v>
      </c>
      <c r="D21" s="513">
        <v>200</v>
      </c>
      <c r="E21" s="32">
        <f t="shared" si="0"/>
        <v>80</v>
      </c>
    </row>
    <row r="22" spans="1:5" ht="12.75">
      <c r="A22" s="512" t="s">
        <v>722</v>
      </c>
      <c r="B22" s="513"/>
      <c r="C22" s="513">
        <v>100</v>
      </c>
      <c r="D22" s="513">
        <v>100</v>
      </c>
      <c r="E22" s="32">
        <f t="shared" si="0"/>
        <v>100</v>
      </c>
    </row>
    <row r="23" spans="1:5" ht="12.75">
      <c r="A23" s="512" t="s">
        <v>723</v>
      </c>
      <c r="B23" s="513"/>
      <c r="C23" s="513">
        <v>50</v>
      </c>
      <c r="D23" s="513">
        <v>50</v>
      </c>
      <c r="E23" s="32">
        <f t="shared" si="0"/>
        <v>100</v>
      </c>
    </row>
    <row r="24" spans="1:5" ht="12.75">
      <c r="A24" s="512" t="s">
        <v>724</v>
      </c>
      <c r="B24" s="513"/>
      <c r="C24" s="513">
        <v>50</v>
      </c>
      <c r="D24" s="513"/>
      <c r="E24" s="32">
        <f t="shared" si="0"/>
        <v>0</v>
      </c>
    </row>
    <row r="25" spans="1:5" ht="12.75">
      <c r="A25" s="512" t="s">
        <v>725</v>
      </c>
      <c r="B25" s="513">
        <v>30</v>
      </c>
      <c r="C25" s="513">
        <v>30</v>
      </c>
      <c r="D25" s="513"/>
      <c r="E25" s="32">
        <f t="shared" si="0"/>
        <v>0</v>
      </c>
    </row>
    <row r="26" spans="1:5" ht="12.75">
      <c r="A26" s="512" t="s">
        <v>726</v>
      </c>
      <c r="B26" s="513"/>
      <c r="C26" s="513"/>
      <c r="D26" s="513"/>
      <c r="E26" s="32"/>
    </row>
    <row r="27" spans="1:5" ht="12.75">
      <c r="A27" s="512" t="s">
        <v>727</v>
      </c>
      <c r="B27" s="513"/>
      <c r="C27" s="513">
        <v>101</v>
      </c>
      <c r="D27" s="513">
        <v>101</v>
      </c>
      <c r="E27" s="32">
        <f t="shared" si="0"/>
        <v>100</v>
      </c>
    </row>
    <row r="28" spans="1:5" ht="12.75">
      <c r="A28" s="512" t="s">
        <v>728</v>
      </c>
      <c r="B28" s="513"/>
      <c r="C28" s="513">
        <v>420</v>
      </c>
      <c r="D28" s="513">
        <f>150+130</f>
        <v>280</v>
      </c>
      <c r="E28" s="32">
        <f t="shared" si="0"/>
        <v>66.66666666666666</v>
      </c>
    </row>
    <row r="29" spans="1:5" ht="12.75">
      <c r="A29" s="512" t="s">
        <v>729</v>
      </c>
      <c r="B29" s="513"/>
      <c r="C29" s="513">
        <v>175</v>
      </c>
      <c r="D29" s="513">
        <v>175</v>
      </c>
      <c r="E29" s="32">
        <f t="shared" si="0"/>
        <v>100</v>
      </c>
    </row>
    <row r="30" spans="1:5" ht="12.75">
      <c r="A30" s="512" t="s">
        <v>730</v>
      </c>
      <c r="B30" s="513"/>
      <c r="C30" s="513"/>
      <c r="D30" s="513"/>
      <c r="E30" s="32"/>
    </row>
    <row r="31" spans="1:5" ht="12.75">
      <c r="A31" s="512" t="s">
        <v>731</v>
      </c>
      <c r="B31" s="513">
        <v>4640</v>
      </c>
      <c r="C31" s="513"/>
      <c r="D31" s="513"/>
      <c r="E31" s="32"/>
    </row>
    <row r="32" spans="1:5" ht="12.75">
      <c r="A32" s="512" t="s">
        <v>732</v>
      </c>
      <c r="B32" s="513"/>
      <c r="C32" s="513"/>
      <c r="D32" s="513"/>
      <c r="E32" s="32"/>
    </row>
    <row r="33" spans="1:5" ht="12.75">
      <c r="A33" s="512" t="s">
        <v>733</v>
      </c>
      <c r="B33" s="513">
        <v>1722</v>
      </c>
      <c r="C33" s="513">
        <v>1077</v>
      </c>
      <c r="D33" s="513">
        <v>950</v>
      </c>
      <c r="E33" s="32">
        <f t="shared" si="0"/>
        <v>88.2079851439183</v>
      </c>
    </row>
    <row r="34" spans="1:5" ht="12.75">
      <c r="A34" s="512" t="s">
        <v>734</v>
      </c>
      <c r="B34" s="513">
        <v>7100</v>
      </c>
      <c r="C34" s="513">
        <v>8695</v>
      </c>
      <c r="D34" s="513">
        <v>8235</v>
      </c>
      <c r="E34" s="32">
        <f t="shared" si="0"/>
        <v>94.70960322024152</v>
      </c>
    </row>
    <row r="35" spans="1:5" ht="12.75">
      <c r="A35" s="514" t="s">
        <v>735</v>
      </c>
      <c r="B35" s="515">
        <f>SUM(B36)</f>
        <v>0</v>
      </c>
      <c r="C35" s="515">
        <f aca="true" t="shared" si="1" ref="C35:E36">SUM(C36)</f>
        <v>24</v>
      </c>
      <c r="D35" s="515">
        <f t="shared" si="1"/>
        <v>24</v>
      </c>
      <c r="E35" s="515">
        <f t="shared" si="1"/>
        <v>99.58038562907477</v>
      </c>
    </row>
    <row r="36" spans="1:5" ht="12.75">
      <c r="A36" s="512" t="s">
        <v>736</v>
      </c>
      <c r="B36" s="516"/>
      <c r="C36" s="516">
        <v>24</v>
      </c>
      <c r="D36" s="516">
        <v>24</v>
      </c>
      <c r="E36" s="515">
        <f t="shared" si="1"/>
        <v>99.58038562907477</v>
      </c>
    </row>
    <row r="37" spans="1:5" ht="12.75">
      <c r="A37" s="511" t="s">
        <v>737</v>
      </c>
      <c r="B37" s="35">
        <f>SUM(B38)</f>
        <v>20676</v>
      </c>
      <c r="C37" s="35">
        <f>SUM(C38)</f>
        <v>28836</v>
      </c>
      <c r="D37" s="35">
        <f>SUM(D38)</f>
        <v>28715</v>
      </c>
      <c r="E37" s="32">
        <f t="shared" si="0"/>
        <v>99.58038562907477</v>
      </c>
    </row>
    <row r="38" spans="1:5" ht="12.75">
      <c r="A38" s="511" t="s">
        <v>738</v>
      </c>
      <c r="B38" s="517">
        <f>SUM(B40,B52)</f>
        <v>20676</v>
      </c>
      <c r="C38" s="517">
        <f>SUM(C39,C40,C52)</f>
        <v>28836</v>
      </c>
      <c r="D38" s="517">
        <f>SUM(D39,D40,D52)</f>
        <v>28715</v>
      </c>
      <c r="E38" s="32">
        <f t="shared" si="0"/>
        <v>99.58038562907477</v>
      </c>
    </row>
    <row r="39" spans="1:5" ht="12.75">
      <c r="A39" s="512" t="s">
        <v>739</v>
      </c>
      <c r="B39" s="516"/>
      <c r="C39" s="516">
        <v>24</v>
      </c>
      <c r="D39" s="516">
        <v>24</v>
      </c>
      <c r="E39" s="32">
        <f t="shared" si="0"/>
        <v>100</v>
      </c>
    </row>
    <row r="40" spans="1:5" ht="12.75">
      <c r="A40" s="511" t="s">
        <v>740</v>
      </c>
      <c r="B40" s="35">
        <f>SUM(B41:B51)</f>
        <v>20401</v>
      </c>
      <c r="C40" s="35">
        <f>SUM(C41:C51)</f>
        <v>26824</v>
      </c>
      <c r="D40" s="35">
        <f>SUM(D41:D51)</f>
        <v>26725</v>
      </c>
      <c r="E40" s="32">
        <f t="shared" si="0"/>
        <v>99.63092752758723</v>
      </c>
    </row>
    <row r="41" spans="1:5" ht="12.75">
      <c r="A41" s="512" t="s">
        <v>741</v>
      </c>
      <c r="B41" s="513">
        <v>500</v>
      </c>
      <c r="C41" s="513">
        <v>500</v>
      </c>
      <c r="D41" s="513">
        <v>620</v>
      </c>
      <c r="E41" s="32">
        <f t="shared" si="0"/>
        <v>124</v>
      </c>
    </row>
    <row r="42" spans="1:5" ht="12.75">
      <c r="A42" s="512" t="s">
        <v>742</v>
      </c>
      <c r="B42" s="513">
        <v>320</v>
      </c>
      <c r="C42" s="513">
        <v>320</v>
      </c>
      <c r="D42" s="513"/>
      <c r="E42" s="32">
        <f t="shared" si="0"/>
        <v>0</v>
      </c>
    </row>
    <row r="43" spans="1:5" ht="12.75">
      <c r="A43" s="512" t="s">
        <v>743</v>
      </c>
      <c r="B43" s="513">
        <v>9840</v>
      </c>
      <c r="C43" s="513">
        <v>9840</v>
      </c>
      <c r="D43" s="513">
        <v>8690</v>
      </c>
      <c r="E43" s="32">
        <f t="shared" si="0"/>
        <v>88.3130081300813</v>
      </c>
    </row>
    <row r="44" spans="1:5" ht="12.75">
      <c r="A44" s="512" t="s">
        <v>744</v>
      </c>
      <c r="B44" s="513">
        <v>3640</v>
      </c>
      <c r="C44" s="513">
        <v>3640</v>
      </c>
      <c r="D44" s="513">
        <v>3877</v>
      </c>
      <c r="E44" s="32">
        <f t="shared" si="0"/>
        <v>106.51098901098901</v>
      </c>
    </row>
    <row r="45" spans="1:5" ht="12.75">
      <c r="A45" s="512" t="s">
        <v>745</v>
      </c>
      <c r="B45" s="513"/>
      <c r="C45" s="513"/>
      <c r="D45" s="513">
        <v>5588</v>
      </c>
      <c r="E45" s="32"/>
    </row>
    <row r="46" spans="1:5" ht="12.75">
      <c r="A46" s="512" t="s">
        <v>746</v>
      </c>
      <c r="B46" s="513"/>
      <c r="C46" s="513">
        <v>6423</v>
      </c>
      <c r="D46" s="513">
        <v>6423</v>
      </c>
      <c r="E46" s="32">
        <f t="shared" si="0"/>
        <v>100</v>
      </c>
    </row>
    <row r="47" spans="1:5" ht="12.75">
      <c r="A47" s="512" t="s">
        <v>747</v>
      </c>
      <c r="B47" s="513">
        <v>199</v>
      </c>
      <c r="C47" s="513">
        <v>199</v>
      </c>
      <c r="D47" s="513"/>
      <c r="E47" s="32">
        <f t="shared" si="0"/>
        <v>0</v>
      </c>
    </row>
    <row r="48" spans="1:5" ht="12.75">
      <c r="A48" s="512" t="s">
        <v>748</v>
      </c>
      <c r="B48" s="513">
        <v>1089</v>
      </c>
      <c r="C48" s="513">
        <v>1089</v>
      </c>
      <c r="D48" s="513"/>
      <c r="E48" s="32">
        <f t="shared" si="0"/>
        <v>0</v>
      </c>
    </row>
    <row r="49" spans="1:5" ht="12.75">
      <c r="A49" s="512" t="s">
        <v>749</v>
      </c>
      <c r="B49" s="513">
        <v>513</v>
      </c>
      <c r="C49" s="513">
        <v>513</v>
      </c>
      <c r="D49" s="513">
        <v>367</v>
      </c>
      <c r="E49" s="32">
        <f t="shared" si="0"/>
        <v>71.53996101364523</v>
      </c>
    </row>
    <row r="50" spans="1:5" ht="12.75">
      <c r="A50" s="512" t="s">
        <v>750</v>
      </c>
      <c r="B50" s="513">
        <v>3000</v>
      </c>
      <c r="C50" s="513">
        <v>3000</v>
      </c>
      <c r="D50" s="513"/>
      <c r="E50" s="32">
        <f t="shared" si="0"/>
        <v>0</v>
      </c>
    </row>
    <row r="51" spans="1:5" ht="12.75">
      <c r="A51" s="512" t="s">
        <v>751</v>
      </c>
      <c r="B51" s="513">
        <v>1300</v>
      </c>
      <c r="C51" s="513">
        <v>1300</v>
      </c>
      <c r="D51" s="513">
        <v>1160</v>
      </c>
      <c r="E51" s="32">
        <f t="shared" si="0"/>
        <v>89.23076923076924</v>
      </c>
    </row>
    <row r="52" spans="1:5" ht="12.75">
      <c r="A52" s="511" t="s">
        <v>752</v>
      </c>
      <c r="B52" s="518">
        <f>SUM(B53:B57)</f>
        <v>275</v>
      </c>
      <c r="C52" s="518">
        <f>SUM(C53:C57)</f>
        <v>1988</v>
      </c>
      <c r="D52" s="518">
        <f>SUM(D53:D57)</f>
        <v>1966</v>
      </c>
      <c r="E52" s="32">
        <f t="shared" si="0"/>
        <v>98.8933601609658</v>
      </c>
    </row>
    <row r="53" spans="1:5" ht="12.75">
      <c r="A53" s="512" t="s">
        <v>753</v>
      </c>
      <c r="B53" s="513">
        <v>225</v>
      </c>
      <c r="C53" s="513">
        <v>225</v>
      </c>
      <c r="D53" s="513">
        <v>223</v>
      </c>
      <c r="E53" s="32">
        <f t="shared" si="0"/>
        <v>99.11111111111111</v>
      </c>
    </row>
    <row r="54" spans="1:5" ht="12.75">
      <c r="A54" s="512" t="s">
        <v>754</v>
      </c>
      <c r="B54" s="513"/>
      <c r="C54" s="513">
        <v>22</v>
      </c>
      <c r="D54" s="513">
        <v>22</v>
      </c>
      <c r="E54" s="32">
        <f t="shared" si="0"/>
        <v>100</v>
      </c>
    </row>
    <row r="55" spans="1:5" ht="12.75">
      <c r="A55" s="512" t="s">
        <v>755</v>
      </c>
      <c r="B55" s="513"/>
      <c r="C55" s="513">
        <v>891</v>
      </c>
      <c r="D55" s="513">
        <v>891</v>
      </c>
      <c r="E55" s="32">
        <f t="shared" si="0"/>
        <v>100</v>
      </c>
    </row>
    <row r="56" spans="1:5" ht="12.75">
      <c r="A56" s="512" t="s">
        <v>756</v>
      </c>
      <c r="B56" s="513"/>
      <c r="C56" s="513">
        <v>770</v>
      </c>
      <c r="D56" s="513">
        <v>770</v>
      </c>
      <c r="E56" s="32">
        <f t="shared" si="0"/>
        <v>100</v>
      </c>
    </row>
    <row r="57" spans="1:5" ht="12.75">
      <c r="A57" s="512" t="s">
        <v>757</v>
      </c>
      <c r="B57" s="513">
        <v>50</v>
      </c>
      <c r="C57" s="513">
        <v>80</v>
      </c>
      <c r="D57" s="513">
        <v>60</v>
      </c>
      <c r="E57" s="32">
        <f t="shared" si="0"/>
        <v>75</v>
      </c>
    </row>
    <row r="58" spans="1:5" ht="12.75">
      <c r="A58" s="514" t="s">
        <v>758</v>
      </c>
      <c r="B58" s="517">
        <f>SUM(B59:B60)</f>
        <v>0</v>
      </c>
      <c r="C58" s="517">
        <f>SUM(C59:C60)</f>
        <v>14</v>
      </c>
      <c r="D58" s="517">
        <f>SUM(D59:D60)</f>
        <v>14</v>
      </c>
      <c r="E58" s="32">
        <f t="shared" si="0"/>
        <v>100</v>
      </c>
    </row>
    <row r="59" spans="1:5" ht="12.75">
      <c r="A59" s="512" t="s">
        <v>759</v>
      </c>
      <c r="B59" s="513"/>
      <c r="C59" s="513">
        <v>14</v>
      </c>
      <c r="D59" s="513">
        <v>14</v>
      </c>
      <c r="E59" s="32">
        <f t="shared" si="0"/>
        <v>100</v>
      </c>
    </row>
    <row r="60" spans="1:5" ht="12.75">
      <c r="A60" s="512" t="s">
        <v>760</v>
      </c>
      <c r="B60" s="513"/>
      <c r="C60" s="513"/>
      <c r="D60" s="513"/>
      <c r="E60" s="32"/>
    </row>
    <row r="61" spans="1:5" ht="12.75">
      <c r="A61" s="511" t="s">
        <v>761</v>
      </c>
      <c r="B61" s="35">
        <f>SUM(B5,B37)</f>
        <v>34648</v>
      </c>
      <c r="C61" s="35">
        <f>SUM(C5,C37)</f>
        <v>42263</v>
      </c>
      <c r="D61" s="35">
        <f>SUM(D5,D37)</f>
        <v>40035</v>
      </c>
      <c r="E61" s="32">
        <f t="shared" si="0"/>
        <v>94.72824929607458</v>
      </c>
    </row>
  </sheetData>
  <sheetProtection selectLockedCells="1" selectUnlockedCells="1"/>
  <mergeCells count="2">
    <mergeCell ref="A1:E1"/>
    <mergeCell ref="B2:E2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portrait" paperSize="9"/>
  <headerFooter alignWithMargins="0">
    <oddHeader>&amp;L&amp;12Vámosprécs Városi Önkormányzat&amp;R&amp;"Arial,Dőlt"&amp;12 3.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">
      <selection activeCell="E78" sqref="E78"/>
    </sheetView>
  </sheetViews>
  <sheetFormatPr defaultColWidth="9.140625" defaultRowHeight="12.75"/>
  <cols>
    <col min="1" max="1" width="45.140625" style="21" customWidth="1"/>
    <col min="2" max="4" width="11.00390625" style="21" customWidth="1"/>
    <col min="5" max="5" width="11.00390625" style="23" customWidth="1"/>
  </cols>
  <sheetData>
    <row r="1" spans="1:5" ht="12.75" customHeight="1">
      <c r="A1" s="519" t="s">
        <v>762</v>
      </c>
      <c r="B1" s="519"/>
      <c r="C1" s="519"/>
      <c r="D1" s="519"/>
      <c r="E1" s="519"/>
    </row>
    <row r="2" spans="1:5" ht="12.75">
      <c r="A2" s="38"/>
      <c r="B2" s="520"/>
      <c r="C2" s="520"/>
      <c r="D2" s="520"/>
      <c r="E2" s="520"/>
    </row>
    <row r="3" spans="1:5" ht="12.75">
      <c r="A3" s="38"/>
      <c r="B3" s="521"/>
      <c r="C3" s="521"/>
      <c r="D3" s="521"/>
      <c r="E3" s="522" t="s">
        <v>486</v>
      </c>
    </row>
    <row r="4" spans="1:5" ht="12.75">
      <c r="A4" s="523" t="s">
        <v>31</v>
      </c>
      <c r="B4" s="523" t="s">
        <v>702</v>
      </c>
      <c r="C4" s="523" t="s">
        <v>703</v>
      </c>
      <c r="D4" s="523" t="s">
        <v>763</v>
      </c>
      <c r="E4" s="524" t="s">
        <v>704</v>
      </c>
    </row>
    <row r="5" spans="1:5" ht="12.75">
      <c r="A5" s="525" t="s">
        <v>764</v>
      </c>
      <c r="B5" s="526">
        <f>+B6+B11</f>
        <v>1073</v>
      </c>
      <c r="C5" s="526">
        <f>+C6+C11</f>
        <v>1169</v>
      </c>
      <c r="D5" s="526">
        <f>+D6+D11</f>
        <v>810</v>
      </c>
      <c r="E5" s="58">
        <f>D5/C5*100</f>
        <v>69.28999144568007</v>
      </c>
    </row>
    <row r="6" spans="1:5" ht="12.75">
      <c r="A6" s="527" t="s">
        <v>765</v>
      </c>
      <c r="B6" s="48">
        <f>SUM(B7:B8)</f>
        <v>1073</v>
      </c>
      <c r="C6" s="48">
        <f>SUM(C7:C8)</f>
        <v>1073</v>
      </c>
      <c r="D6" s="48">
        <f>SUM(D7:D8)</f>
        <v>94</v>
      </c>
      <c r="E6" s="58">
        <f>D6/C6*100</f>
        <v>8.760484622553587</v>
      </c>
    </row>
    <row r="7" spans="1:5" ht="12.75">
      <c r="A7" s="43"/>
      <c r="B7" s="526"/>
      <c r="C7" s="526"/>
      <c r="D7" s="526"/>
      <c r="E7" s="58"/>
    </row>
    <row r="8" spans="1:5" ht="12.75">
      <c r="A8" s="38" t="s">
        <v>766</v>
      </c>
      <c r="B8" s="36">
        <v>1073</v>
      </c>
      <c r="C8" s="36">
        <v>1073</v>
      </c>
      <c r="D8" s="36">
        <f>SUM(D9:D10)</f>
        <v>94</v>
      </c>
      <c r="E8" s="58">
        <f>D8/C8*100</f>
        <v>8.760484622553587</v>
      </c>
    </row>
    <row r="9" spans="1:5" ht="12.75">
      <c r="A9" s="38" t="s">
        <v>767</v>
      </c>
      <c r="B9" s="526"/>
      <c r="C9" s="526"/>
      <c r="D9" s="528">
        <f>2+5+5+2+2+2+2+2+2+2+2+20</f>
        <v>48</v>
      </c>
      <c r="E9" s="58"/>
    </row>
    <row r="10" spans="1:5" ht="12.75">
      <c r="A10" s="38" t="s">
        <v>768</v>
      </c>
      <c r="B10" s="526"/>
      <c r="C10" s="526"/>
      <c r="D10" s="528">
        <f>3+5+5+5+3+5+20</f>
        <v>46</v>
      </c>
      <c r="E10" s="58"/>
    </row>
    <row r="11" spans="1:5" ht="12.75">
      <c r="A11" s="529" t="s">
        <v>769</v>
      </c>
      <c r="B11" s="530">
        <f>SUM(B12:B18)</f>
        <v>0</v>
      </c>
      <c r="C11" s="530">
        <f>SUM(C12:C18)</f>
        <v>96</v>
      </c>
      <c r="D11" s="530">
        <f>SUM(D12:D18)</f>
        <v>716</v>
      </c>
      <c r="E11" s="58">
        <f>D11/C11*100</f>
        <v>745.8333333333333</v>
      </c>
    </row>
    <row r="12" spans="1:5" ht="12.75">
      <c r="A12" s="38" t="s">
        <v>770</v>
      </c>
      <c r="B12" s="528"/>
      <c r="C12" s="528"/>
      <c r="D12" s="528">
        <v>200</v>
      </c>
      <c r="E12" s="58"/>
    </row>
    <row r="13" spans="1:5" ht="12.75">
      <c r="A13" s="38" t="s">
        <v>771</v>
      </c>
      <c r="B13" s="528"/>
      <c r="C13" s="528"/>
      <c r="D13" s="528">
        <v>200</v>
      </c>
      <c r="E13" s="58"/>
    </row>
    <row r="14" spans="1:5" ht="12.75">
      <c r="A14" s="38" t="s">
        <v>772</v>
      </c>
      <c r="B14" s="528"/>
      <c r="C14" s="528"/>
      <c r="D14" s="528">
        <v>100</v>
      </c>
      <c r="E14" s="58"/>
    </row>
    <row r="15" spans="1:5" ht="12.75">
      <c r="A15" s="38" t="s">
        <v>773</v>
      </c>
      <c r="B15" s="528"/>
      <c r="C15" s="528"/>
      <c r="D15" s="528">
        <v>100</v>
      </c>
      <c r="E15" s="58"/>
    </row>
    <row r="16" spans="1:5" ht="12.75">
      <c r="A16" s="38" t="s">
        <v>774</v>
      </c>
      <c r="B16" s="528"/>
      <c r="C16" s="528"/>
      <c r="D16" s="528">
        <v>20</v>
      </c>
      <c r="E16" s="58"/>
    </row>
    <row r="17" spans="1:5" ht="12.75">
      <c r="A17" s="38" t="s">
        <v>775</v>
      </c>
      <c r="B17" s="528"/>
      <c r="C17" s="528">
        <v>72</v>
      </c>
      <c r="D17" s="528">
        <v>72</v>
      </c>
      <c r="E17" s="58">
        <f>D17/C17*100</f>
        <v>100</v>
      </c>
    </row>
    <row r="18" spans="1:5" ht="12.75">
      <c r="A18" s="34" t="s">
        <v>776</v>
      </c>
      <c r="B18" s="526">
        <f>SUM(B19)</f>
        <v>0</v>
      </c>
      <c r="C18" s="526">
        <f>SUM(C19)</f>
        <v>24</v>
      </c>
      <c r="D18" s="526">
        <f>SUM(D19)</f>
        <v>24</v>
      </c>
      <c r="E18" s="58">
        <f>D18/C18*100</f>
        <v>100</v>
      </c>
    </row>
    <row r="19" spans="1:5" ht="12.75">
      <c r="A19" s="38" t="s">
        <v>777</v>
      </c>
      <c r="B19" s="526"/>
      <c r="C19" s="526">
        <v>24</v>
      </c>
      <c r="D19" s="528">
        <v>24</v>
      </c>
      <c r="E19" s="58">
        <f>D19/C19*100</f>
        <v>100</v>
      </c>
    </row>
    <row r="20" spans="1:5" ht="12.75">
      <c r="A20" s="529" t="s">
        <v>778</v>
      </c>
      <c r="B20" s="530">
        <f>SUM(B71,B86,B106,B113)</f>
        <v>40225</v>
      </c>
      <c r="C20" s="530">
        <f>SUM(C71,C86,C106,C113)</f>
        <v>76083</v>
      </c>
      <c r="D20" s="530">
        <f>SUM(D71,D86,D106,D113)</f>
        <v>90671</v>
      </c>
      <c r="E20" s="58">
        <f>D20/C20*100</f>
        <v>119.17379703744595</v>
      </c>
    </row>
    <row r="21" spans="1:5" ht="12.75">
      <c r="A21" s="529" t="s">
        <v>779</v>
      </c>
      <c r="B21" s="530"/>
      <c r="C21" s="530"/>
      <c r="D21" s="530"/>
      <c r="E21" s="58"/>
    </row>
    <row r="22" spans="1:5" ht="12.75">
      <c r="A22" s="38" t="s">
        <v>780</v>
      </c>
      <c r="B22" s="36">
        <f>SUM(B28,B35,B36,B41)</f>
        <v>9795</v>
      </c>
      <c r="C22" s="36">
        <f>SUM(C28,C35,C36,C41)</f>
        <v>7362</v>
      </c>
      <c r="D22" s="36">
        <f>SUM(D28,D35,D36,D41)</f>
        <v>8598</v>
      </c>
      <c r="E22" s="58">
        <f>D22/C22*100</f>
        <v>116.78891605541972</v>
      </c>
    </row>
    <row r="23" spans="1:5" ht="12.75">
      <c r="A23" s="38" t="s">
        <v>781</v>
      </c>
      <c r="B23" s="528"/>
      <c r="C23" s="528"/>
      <c r="D23" s="528"/>
      <c r="E23" s="58"/>
    </row>
    <row r="24" spans="1:5" ht="12.75">
      <c r="A24" s="38" t="s">
        <v>782</v>
      </c>
      <c r="B24" s="528">
        <v>750</v>
      </c>
      <c r="C24" s="528">
        <v>335</v>
      </c>
      <c r="D24" s="528">
        <f>1000-1000+111+111+111+2</f>
        <v>335</v>
      </c>
      <c r="E24" s="58">
        <f>D24/C24*100</f>
        <v>100</v>
      </c>
    </row>
    <row r="25" spans="1:5" ht="12.75">
      <c r="A25" s="38" t="s">
        <v>783</v>
      </c>
      <c r="B25" s="528">
        <v>600</v>
      </c>
      <c r="C25" s="528">
        <v>200</v>
      </c>
      <c r="D25" s="528">
        <f>149+149+67</f>
        <v>365</v>
      </c>
      <c r="E25" s="58">
        <f>D25/C25*100</f>
        <v>182.5</v>
      </c>
    </row>
    <row r="26" spans="1:5" ht="12.75">
      <c r="A26" s="38" t="s">
        <v>784</v>
      </c>
      <c r="B26" s="528"/>
      <c r="C26" s="528">
        <v>300</v>
      </c>
      <c r="D26" s="528">
        <v>650</v>
      </c>
      <c r="E26" s="58">
        <f>D26/C26*100</f>
        <v>216.66666666666666</v>
      </c>
    </row>
    <row r="27" spans="1:5" ht="12.75">
      <c r="A27" s="38" t="s">
        <v>785</v>
      </c>
      <c r="B27" s="528">
        <v>400</v>
      </c>
      <c r="C27" s="528">
        <v>267</v>
      </c>
      <c r="D27" s="528">
        <f>89+89+89-2</f>
        <v>265</v>
      </c>
      <c r="E27" s="58">
        <f>D27/C27*100</f>
        <v>99.25093632958801</v>
      </c>
    </row>
    <row r="28" spans="1:5" ht="12.75">
      <c r="A28" s="43" t="s">
        <v>786</v>
      </c>
      <c r="B28" s="44">
        <f>SUM(B24:B27)</f>
        <v>1750</v>
      </c>
      <c r="C28" s="44">
        <f>SUM(C24:C27)</f>
        <v>1102</v>
      </c>
      <c r="D28" s="44">
        <f>SUM(D24:D27)</f>
        <v>1615</v>
      </c>
      <c r="E28" s="58">
        <f>D28/C28*100</f>
        <v>146.55172413793102</v>
      </c>
    </row>
    <row r="29" spans="1:5" ht="12.75">
      <c r="A29" s="38" t="s">
        <v>787</v>
      </c>
      <c r="B29" s="528"/>
      <c r="C29" s="528"/>
      <c r="D29" s="528"/>
      <c r="E29" s="58"/>
    </row>
    <row r="30" spans="1:5" ht="12.75">
      <c r="A30" s="38" t="s">
        <v>782</v>
      </c>
      <c r="B30" s="528">
        <v>120</v>
      </c>
      <c r="C30" s="528">
        <f>353-258+53</f>
        <v>148</v>
      </c>
      <c r="D30" s="528">
        <f>410+117-410+117+117+2</f>
        <v>353</v>
      </c>
      <c r="E30" s="58">
        <f aca="true" t="shared" si="0" ref="E30:E45">D30/C30*100</f>
        <v>238.51351351351352</v>
      </c>
    </row>
    <row r="31" spans="1:5" ht="12.75">
      <c r="A31" s="38" t="s">
        <v>788</v>
      </c>
      <c r="B31" s="528">
        <v>456</v>
      </c>
      <c r="C31" s="528">
        <v>-456</v>
      </c>
      <c r="D31" s="528"/>
      <c r="E31" s="58">
        <f t="shared" si="0"/>
        <v>0</v>
      </c>
    </row>
    <row r="32" spans="1:5" ht="12.75">
      <c r="A32" s="38" t="s">
        <v>783</v>
      </c>
      <c r="B32" s="528">
        <v>192</v>
      </c>
      <c r="C32" s="528">
        <v>128</v>
      </c>
      <c r="D32" s="528">
        <f>43+43+42-1</f>
        <v>127</v>
      </c>
      <c r="E32" s="58">
        <f t="shared" si="0"/>
        <v>99.21875</v>
      </c>
    </row>
    <row r="33" spans="1:5" ht="12.75">
      <c r="A33" s="38" t="s">
        <v>784</v>
      </c>
      <c r="B33" s="528"/>
      <c r="C33" s="528">
        <f>128</f>
        <v>128</v>
      </c>
      <c r="D33" s="528">
        <v>192</v>
      </c>
      <c r="E33" s="58">
        <f t="shared" si="0"/>
        <v>150</v>
      </c>
    </row>
    <row r="34" spans="1:5" ht="12.75">
      <c r="A34" s="38" t="s">
        <v>785</v>
      </c>
      <c r="B34" s="528">
        <v>264</v>
      </c>
      <c r="C34" s="528">
        <v>176</v>
      </c>
      <c r="D34" s="528">
        <f>59+59+60-3</f>
        <v>175</v>
      </c>
      <c r="E34" s="58">
        <f t="shared" si="0"/>
        <v>99.43181818181817</v>
      </c>
    </row>
    <row r="35" spans="1:5" ht="12.75">
      <c r="A35" s="43" t="s">
        <v>789</v>
      </c>
      <c r="B35" s="44">
        <f>SUM(B30:B34)</f>
        <v>1032</v>
      </c>
      <c r="C35" s="44">
        <f>SUM(C30:C34)</f>
        <v>124</v>
      </c>
      <c r="D35" s="44">
        <f>SUM(D30:D34)</f>
        <v>847</v>
      </c>
      <c r="E35" s="58">
        <f t="shared" si="0"/>
        <v>683.0645161290323</v>
      </c>
    </row>
    <row r="36" spans="1:5" ht="12.75">
      <c r="A36" s="38" t="s">
        <v>790</v>
      </c>
      <c r="B36" s="35">
        <f>SUM(B37:B40)</f>
        <v>3856</v>
      </c>
      <c r="C36" s="35">
        <f>SUM(C37:C40)</f>
        <v>2979</v>
      </c>
      <c r="D36" s="35">
        <f>SUM(D37:D40)</f>
        <v>2979</v>
      </c>
      <c r="E36" s="58">
        <f t="shared" si="0"/>
        <v>100</v>
      </c>
    </row>
    <row r="37" spans="1:5" ht="12.75">
      <c r="A37" s="38" t="s">
        <v>782</v>
      </c>
      <c r="B37" s="528">
        <v>1675</v>
      </c>
      <c r="C37" s="528">
        <v>1116</v>
      </c>
      <c r="D37" s="528">
        <f>419+372-418+372+371</f>
        <v>1116</v>
      </c>
      <c r="E37" s="58">
        <f t="shared" si="0"/>
        <v>100</v>
      </c>
    </row>
    <row r="38" spans="1:5" ht="12.75">
      <c r="A38" s="38" t="s">
        <v>783</v>
      </c>
      <c r="B38" s="528">
        <v>629</v>
      </c>
      <c r="C38" s="528">
        <v>420</v>
      </c>
      <c r="D38" s="528">
        <f>140+140+140</f>
        <v>420</v>
      </c>
      <c r="E38" s="58">
        <f t="shared" si="0"/>
        <v>100</v>
      </c>
    </row>
    <row r="39" spans="1:5" ht="12.75">
      <c r="A39" s="38" t="s">
        <v>791</v>
      </c>
      <c r="B39" s="528">
        <v>1225</v>
      </c>
      <c r="C39" s="528">
        <v>1225</v>
      </c>
      <c r="D39" s="528">
        <f>408+408+409</f>
        <v>1225</v>
      </c>
      <c r="E39" s="58">
        <f t="shared" si="0"/>
        <v>100</v>
      </c>
    </row>
    <row r="40" spans="1:5" ht="12.75">
      <c r="A40" s="38" t="s">
        <v>785</v>
      </c>
      <c r="B40" s="528">
        <v>327</v>
      </c>
      <c r="C40" s="528">
        <v>218</v>
      </c>
      <c r="D40" s="528">
        <f>82-82+73+73+72</f>
        <v>218</v>
      </c>
      <c r="E40" s="58">
        <f t="shared" si="0"/>
        <v>100</v>
      </c>
    </row>
    <row r="41" spans="1:5" ht="12.75">
      <c r="A41" s="38" t="s">
        <v>792</v>
      </c>
      <c r="B41" s="35">
        <f>SUM(B42:B45)</f>
        <v>3157</v>
      </c>
      <c r="C41" s="35">
        <f>SUM(C42:C45)</f>
        <v>3157</v>
      </c>
      <c r="D41" s="35">
        <f>SUM(D42:D45)</f>
        <v>3157</v>
      </c>
      <c r="E41" s="58">
        <f t="shared" si="0"/>
        <v>100</v>
      </c>
    </row>
    <row r="42" spans="1:5" ht="12.75">
      <c r="A42" s="38" t="s">
        <v>782</v>
      </c>
      <c r="B42" s="528">
        <v>1361</v>
      </c>
      <c r="C42" s="528">
        <v>1361</v>
      </c>
      <c r="D42" s="528">
        <f>340+340+340+341</f>
        <v>1361</v>
      </c>
      <c r="E42" s="58">
        <f t="shared" si="0"/>
        <v>100</v>
      </c>
    </row>
    <row r="43" spans="1:5" ht="12.75">
      <c r="A43" s="38" t="s">
        <v>783</v>
      </c>
      <c r="B43" s="528">
        <v>490</v>
      </c>
      <c r="C43" s="528">
        <v>490</v>
      </c>
      <c r="D43" s="528">
        <f>123+123+122+122</f>
        <v>490</v>
      </c>
      <c r="E43" s="58">
        <f t="shared" si="0"/>
        <v>100</v>
      </c>
    </row>
    <row r="44" spans="1:5" ht="12.75">
      <c r="A44" s="38" t="s">
        <v>791</v>
      </c>
      <c r="B44" s="528">
        <v>1002</v>
      </c>
      <c r="C44" s="528">
        <v>1002</v>
      </c>
      <c r="D44" s="528">
        <f>250+250+251+251</f>
        <v>1002</v>
      </c>
      <c r="E44" s="58">
        <f t="shared" si="0"/>
        <v>100</v>
      </c>
    </row>
    <row r="45" spans="1:5" ht="12.75">
      <c r="A45" s="38" t="s">
        <v>785</v>
      </c>
      <c r="B45" s="528">
        <v>304</v>
      </c>
      <c r="C45" s="528">
        <v>304</v>
      </c>
      <c r="D45" s="528">
        <f>76+76+76+76</f>
        <v>304</v>
      </c>
      <c r="E45" s="58">
        <f t="shared" si="0"/>
        <v>100</v>
      </c>
    </row>
    <row r="46" spans="1:5" ht="12.75">
      <c r="A46" s="38"/>
      <c r="B46" s="528"/>
      <c r="C46" s="528"/>
      <c r="D46" s="528"/>
      <c r="E46" s="58"/>
    </row>
    <row r="47" spans="1:5" ht="12.75">
      <c r="A47" s="43" t="s">
        <v>793</v>
      </c>
      <c r="B47" s="44">
        <f>SUM(B56,B63,B65:B70)</f>
        <v>15296</v>
      </c>
      <c r="C47" s="44">
        <f>SUM(C56,C63,C65:C70)</f>
        <v>15565</v>
      </c>
      <c r="D47" s="44">
        <f>SUM(D56,D63,D65:D70)</f>
        <v>15592</v>
      </c>
      <c r="E47" s="58">
        <f>D47/C47*100</f>
        <v>100.17346610986186</v>
      </c>
    </row>
    <row r="48" spans="1:5" ht="12.75">
      <c r="A48" s="43"/>
      <c r="B48" s="44"/>
      <c r="C48" s="44"/>
      <c r="D48" s="44"/>
      <c r="E48" s="58"/>
    </row>
    <row r="49" spans="1:5" ht="12.75">
      <c r="A49" s="38" t="s">
        <v>794</v>
      </c>
      <c r="B49" s="36">
        <f>352+352</f>
        <v>704</v>
      </c>
      <c r="C49" s="36">
        <f>417+598</f>
        <v>1015</v>
      </c>
      <c r="D49" s="36">
        <f>417+598</f>
        <v>1015</v>
      </c>
      <c r="E49" s="58">
        <f>D49/C49*100</f>
        <v>100</v>
      </c>
    </row>
    <row r="50" spans="1:5" ht="12.75">
      <c r="A50" s="38" t="s">
        <v>795</v>
      </c>
      <c r="B50" s="36"/>
      <c r="C50" s="36"/>
      <c r="D50" s="36"/>
      <c r="E50" s="58"/>
    </row>
    <row r="51" spans="1:5" ht="12.75">
      <c r="A51" s="38" t="s">
        <v>796</v>
      </c>
      <c r="B51" s="36">
        <f>198+198</f>
        <v>396</v>
      </c>
      <c r="C51" s="36">
        <f>214+157</f>
        <v>371</v>
      </c>
      <c r="D51" s="36">
        <f>214+157</f>
        <v>371</v>
      </c>
      <c r="E51" s="58">
        <f aca="true" t="shared" si="1" ref="E51:E63">D51/C51*100</f>
        <v>100</v>
      </c>
    </row>
    <row r="52" spans="1:5" ht="12.75">
      <c r="A52" s="38" t="s">
        <v>797</v>
      </c>
      <c r="B52" s="36">
        <f>227+227</f>
        <v>454</v>
      </c>
      <c r="C52" s="36">
        <f>203+276</f>
        <v>479</v>
      </c>
      <c r="D52" s="36">
        <f>203+276</f>
        <v>479</v>
      </c>
      <c r="E52" s="58">
        <f t="shared" si="1"/>
        <v>100</v>
      </c>
    </row>
    <row r="53" spans="1:5" ht="12.75">
      <c r="A53" s="38" t="s">
        <v>798</v>
      </c>
      <c r="B53" s="36">
        <f>256+257</f>
        <v>513</v>
      </c>
      <c r="C53" s="36">
        <f>214+163</f>
        <v>377</v>
      </c>
      <c r="D53" s="36">
        <f>214+163</f>
        <v>377</v>
      </c>
      <c r="E53" s="58">
        <f t="shared" si="1"/>
        <v>100</v>
      </c>
    </row>
    <row r="54" spans="1:5" ht="12.75">
      <c r="A54" s="38" t="s">
        <v>799</v>
      </c>
      <c r="B54" s="36">
        <f>206+205</f>
        <v>411</v>
      </c>
      <c r="C54" s="36">
        <f>136+178</f>
        <v>314</v>
      </c>
      <c r="D54" s="36">
        <f>136+178</f>
        <v>314</v>
      </c>
      <c r="E54" s="58">
        <f t="shared" si="1"/>
        <v>100</v>
      </c>
    </row>
    <row r="55" spans="1:5" ht="12.75">
      <c r="A55" s="38" t="s">
        <v>800</v>
      </c>
      <c r="B55" s="36">
        <f>198+198</f>
        <v>396</v>
      </c>
      <c r="C55" s="36">
        <f>168+123</f>
        <v>291</v>
      </c>
      <c r="D55" s="36">
        <f>168+123</f>
        <v>291</v>
      </c>
      <c r="E55" s="58">
        <f t="shared" si="1"/>
        <v>100</v>
      </c>
    </row>
    <row r="56" spans="1:5" ht="12.75">
      <c r="A56" s="43" t="s">
        <v>801</v>
      </c>
      <c r="B56" s="48">
        <f>SUM(B49:B55)</f>
        <v>2874</v>
      </c>
      <c r="C56" s="48">
        <f>SUM(C49:C55)</f>
        <v>2847</v>
      </c>
      <c r="D56" s="48">
        <f>SUM(D49:D55)</f>
        <v>2847</v>
      </c>
      <c r="E56" s="58">
        <f t="shared" si="1"/>
        <v>100</v>
      </c>
    </row>
    <row r="57" spans="1:5" ht="12.75">
      <c r="A57" s="38" t="s">
        <v>802</v>
      </c>
      <c r="B57" s="36">
        <f>250+249</f>
        <v>499</v>
      </c>
      <c r="C57" s="36">
        <f>237+339</f>
        <v>576</v>
      </c>
      <c r="D57" s="36">
        <f>237+339</f>
        <v>576</v>
      </c>
      <c r="E57" s="58">
        <f t="shared" si="1"/>
        <v>100</v>
      </c>
    </row>
    <row r="58" spans="1:5" ht="12.75">
      <c r="A58" s="38" t="s">
        <v>803</v>
      </c>
      <c r="B58" s="36">
        <f>168+169</f>
        <v>337</v>
      </c>
      <c r="C58" s="36">
        <f>241+183</f>
        <v>424</v>
      </c>
      <c r="D58" s="36">
        <f>241+183</f>
        <v>424</v>
      </c>
      <c r="E58" s="58">
        <f t="shared" si="1"/>
        <v>100</v>
      </c>
    </row>
    <row r="59" spans="1:5" ht="12.75">
      <c r="A59" s="38" t="s">
        <v>804</v>
      </c>
      <c r="B59" s="36">
        <f>418+418</f>
        <v>836</v>
      </c>
      <c r="C59" s="36">
        <f>517+380</f>
        <v>897</v>
      </c>
      <c r="D59" s="36">
        <f>517+380</f>
        <v>897</v>
      </c>
      <c r="E59" s="58">
        <f t="shared" si="1"/>
        <v>100</v>
      </c>
    </row>
    <row r="60" spans="1:5" ht="12.75">
      <c r="A60" s="38" t="s">
        <v>805</v>
      </c>
      <c r="B60" s="36">
        <f>184+183</f>
        <v>367</v>
      </c>
      <c r="C60" s="36">
        <f>141+196</f>
        <v>337</v>
      </c>
      <c r="D60" s="36">
        <f>141+196</f>
        <v>337</v>
      </c>
      <c r="E60" s="58">
        <f t="shared" si="1"/>
        <v>100</v>
      </c>
    </row>
    <row r="61" spans="1:5" ht="12.75">
      <c r="A61" s="38" t="s">
        <v>806</v>
      </c>
      <c r="B61" s="36">
        <f>154+154</f>
        <v>308</v>
      </c>
      <c r="C61" s="36">
        <f>111+152</f>
        <v>263</v>
      </c>
      <c r="D61" s="36">
        <f>111+152</f>
        <v>263</v>
      </c>
      <c r="E61" s="58">
        <f t="shared" si="1"/>
        <v>100</v>
      </c>
    </row>
    <row r="62" spans="1:5" ht="12.75">
      <c r="A62" s="38" t="s">
        <v>807</v>
      </c>
      <c r="B62" s="36">
        <f>250+248</f>
        <v>498</v>
      </c>
      <c r="C62" s="36">
        <f>232+172</f>
        <v>404</v>
      </c>
      <c r="D62" s="36">
        <f>232+172</f>
        <v>404</v>
      </c>
      <c r="E62" s="58">
        <f t="shared" si="1"/>
        <v>100</v>
      </c>
    </row>
    <row r="63" spans="1:5" ht="12.75">
      <c r="A63" s="43" t="s">
        <v>808</v>
      </c>
      <c r="B63" s="48">
        <f>SUM(B57:B62)</f>
        <v>2845</v>
      </c>
      <c r="C63" s="48">
        <f>SUM(C57:C62)</f>
        <v>2901</v>
      </c>
      <c r="D63" s="48">
        <f>SUM(D57:D62)</f>
        <v>2901</v>
      </c>
      <c r="E63" s="58">
        <f t="shared" si="1"/>
        <v>100</v>
      </c>
    </row>
    <row r="64" spans="1:5" ht="12.75">
      <c r="A64" s="523" t="s">
        <v>31</v>
      </c>
      <c r="B64" s="523" t="s">
        <v>702</v>
      </c>
      <c r="C64" s="523" t="s">
        <v>703</v>
      </c>
      <c r="D64" s="523" t="s">
        <v>763</v>
      </c>
      <c r="E64" s="524" t="s">
        <v>704</v>
      </c>
    </row>
    <row r="65" spans="1:5" ht="12.75">
      <c r="A65" s="38" t="s">
        <v>809</v>
      </c>
      <c r="B65" s="528">
        <v>9577</v>
      </c>
      <c r="C65" s="528">
        <v>2886</v>
      </c>
      <c r="D65" s="528">
        <v>2886</v>
      </c>
      <c r="E65" s="58">
        <f aca="true" t="shared" si="2" ref="E65:E70">D65/C65*100</f>
        <v>100</v>
      </c>
    </row>
    <row r="66" spans="1:5" ht="12.75">
      <c r="A66" s="38" t="s">
        <v>810</v>
      </c>
      <c r="B66" s="528"/>
      <c r="C66" s="528">
        <f>2340+1064</f>
        <v>3404</v>
      </c>
      <c r="D66" s="528">
        <v>3404</v>
      </c>
      <c r="E66" s="58">
        <f t="shared" si="2"/>
        <v>100</v>
      </c>
    </row>
    <row r="67" spans="1:5" ht="12.75">
      <c r="A67" s="38" t="s">
        <v>811</v>
      </c>
      <c r="B67" s="528"/>
      <c r="C67" s="528">
        <v>268</v>
      </c>
      <c r="D67" s="528">
        <v>268</v>
      </c>
      <c r="E67" s="58">
        <f t="shared" si="2"/>
        <v>100</v>
      </c>
    </row>
    <row r="68" spans="1:5" ht="12.75">
      <c r="A68" s="38" t="s">
        <v>812</v>
      </c>
      <c r="B68" s="528"/>
      <c r="C68" s="528">
        <v>990</v>
      </c>
      <c r="D68" s="528">
        <v>990</v>
      </c>
      <c r="E68" s="58">
        <f t="shared" si="2"/>
        <v>100</v>
      </c>
    </row>
    <row r="69" spans="1:5" ht="12.75">
      <c r="A69" s="38" t="s">
        <v>813</v>
      </c>
      <c r="B69" s="528"/>
      <c r="C69" s="528">
        <f>516+517+516+517-28</f>
        <v>2038</v>
      </c>
      <c r="D69" s="528">
        <f>516+517+516+517-1</f>
        <v>2065</v>
      </c>
      <c r="E69" s="58">
        <f t="shared" si="2"/>
        <v>101.32482826300296</v>
      </c>
    </row>
    <row r="70" spans="1:5" ht="12.75">
      <c r="A70" s="38" t="s">
        <v>814</v>
      </c>
      <c r="B70" s="528"/>
      <c r="C70" s="528">
        <v>231</v>
      </c>
      <c r="D70" s="528">
        <v>231</v>
      </c>
      <c r="E70" s="58">
        <f t="shared" si="2"/>
        <v>100</v>
      </c>
    </row>
    <row r="71" spans="1:5" ht="12.75">
      <c r="A71" s="34" t="s">
        <v>815</v>
      </c>
      <c r="B71" s="35">
        <f>SUM(B22,B47)</f>
        <v>25091</v>
      </c>
      <c r="C71" s="35">
        <f>SUM(C22,C47)</f>
        <v>22927</v>
      </c>
      <c r="D71" s="35">
        <f>SUM(D22,D47)</f>
        <v>24190</v>
      </c>
      <c r="E71" s="58">
        <f>D71/C71*100</f>
        <v>105.50878876433897</v>
      </c>
    </row>
    <row r="72" spans="1:5" ht="12.75">
      <c r="A72" s="43" t="s">
        <v>816</v>
      </c>
      <c r="B72" s="35"/>
      <c r="C72" s="35"/>
      <c r="D72" s="35"/>
      <c r="E72" s="58"/>
    </row>
    <row r="73" spans="1:5" ht="12.75">
      <c r="A73" s="38" t="s">
        <v>817</v>
      </c>
      <c r="B73" s="36">
        <v>1335</v>
      </c>
      <c r="C73" s="36">
        <v>1335</v>
      </c>
      <c r="D73" s="36">
        <v>9945</v>
      </c>
      <c r="E73" s="58">
        <f>D73/C73*100</f>
        <v>744.9438202247192</v>
      </c>
    </row>
    <row r="74" spans="1:5" ht="12.75">
      <c r="A74" s="38" t="s">
        <v>818</v>
      </c>
      <c r="B74" s="528"/>
      <c r="C74" s="528"/>
      <c r="D74" s="528">
        <v>618</v>
      </c>
      <c r="E74" s="58"/>
    </row>
    <row r="75" spans="1:5" ht="12.75">
      <c r="A75" s="38" t="s">
        <v>819</v>
      </c>
      <c r="B75" s="36"/>
      <c r="C75" s="36">
        <v>574</v>
      </c>
      <c r="D75" s="36"/>
      <c r="E75" s="58">
        <f>D75/C75*100</f>
        <v>0</v>
      </c>
    </row>
    <row r="76" spans="1:5" ht="12.75">
      <c r="A76" s="38" t="s">
        <v>820</v>
      </c>
      <c r="B76" s="36"/>
      <c r="C76" s="36">
        <v>625</v>
      </c>
      <c r="D76" s="36"/>
      <c r="E76" s="58"/>
    </row>
    <row r="77" spans="1:5" ht="12.75">
      <c r="A77" s="38" t="s">
        <v>821</v>
      </c>
      <c r="B77" s="36">
        <v>725</v>
      </c>
      <c r="C77" s="36">
        <v>935</v>
      </c>
      <c r="D77" s="36"/>
      <c r="E77" s="58">
        <f aca="true" t="shared" si="3" ref="E77:E84">D77/C77*100</f>
        <v>0</v>
      </c>
    </row>
    <row r="78" spans="1:5" ht="12.75">
      <c r="A78" s="38" t="s">
        <v>822</v>
      </c>
      <c r="B78" s="36">
        <v>1154</v>
      </c>
      <c r="C78" s="36">
        <v>1154</v>
      </c>
      <c r="D78" s="36"/>
      <c r="E78" s="58">
        <f t="shared" si="3"/>
        <v>0</v>
      </c>
    </row>
    <row r="79" spans="1:5" ht="12.75">
      <c r="A79" s="38" t="s">
        <v>823</v>
      </c>
      <c r="B79" s="36"/>
      <c r="C79" s="36">
        <v>20</v>
      </c>
      <c r="D79" s="36">
        <v>20</v>
      </c>
      <c r="E79" s="58">
        <f t="shared" si="3"/>
        <v>100</v>
      </c>
    </row>
    <row r="80" spans="1:5" ht="12.75">
      <c r="A80" s="38" t="s">
        <v>823</v>
      </c>
      <c r="B80" s="528"/>
      <c r="C80" s="528">
        <v>25</v>
      </c>
      <c r="D80" s="528">
        <v>25</v>
      </c>
      <c r="E80" s="58">
        <f t="shared" si="3"/>
        <v>100</v>
      </c>
    </row>
    <row r="81" spans="1:5" ht="12.75">
      <c r="A81" s="38" t="s">
        <v>824</v>
      </c>
      <c r="B81" s="528"/>
      <c r="C81" s="528">
        <v>25</v>
      </c>
      <c r="D81" s="528">
        <v>25</v>
      </c>
      <c r="E81" s="58">
        <f t="shared" si="3"/>
        <v>100</v>
      </c>
    </row>
    <row r="82" spans="1:5" ht="12.75">
      <c r="A82" s="38" t="s">
        <v>825</v>
      </c>
      <c r="B82" s="528"/>
      <c r="C82" s="528">
        <v>400</v>
      </c>
      <c r="D82" s="528">
        <v>100</v>
      </c>
      <c r="E82" s="58">
        <f t="shared" si="3"/>
        <v>25</v>
      </c>
    </row>
    <row r="83" spans="1:5" ht="12.75">
      <c r="A83" s="38" t="s">
        <v>826</v>
      </c>
      <c r="B83" s="528">
        <v>500</v>
      </c>
      <c r="C83" s="528">
        <v>500</v>
      </c>
      <c r="D83" s="528">
        <v>620</v>
      </c>
      <c r="E83" s="58">
        <f t="shared" si="3"/>
        <v>124</v>
      </c>
    </row>
    <row r="84" spans="1:5" ht="12.75">
      <c r="A84" s="38" t="s">
        <v>827</v>
      </c>
      <c r="B84" s="36">
        <v>320</v>
      </c>
      <c r="C84" s="36">
        <v>320</v>
      </c>
      <c r="D84" s="36"/>
      <c r="E84" s="58">
        <f t="shared" si="3"/>
        <v>0</v>
      </c>
    </row>
    <row r="85" spans="1:5" ht="12.75">
      <c r="A85" s="38" t="s">
        <v>828</v>
      </c>
      <c r="B85" s="36"/>
      <c r="C85" s="36"/>
      <c r="D85" s="36"/>
      <c r="E85" s="58"/>
    </row>
    <row r="86" spans="1:5" ht="12.75">
      <c r="A86" s="34" t="s">
        <v>829</v>
      </c>
      <c r="B86" s="35">
        <f>SUM(B73:B85)</f>
        <v>4034</v>
      </c>
      <c r="C86" s="35">
        <f>SUM(C73:C85)</f>
        <v>5913</v>
      </c>
      <c r="D86" s="35">
        <f>SUM(D73:D85)</f>
        <v>11353</v>
      </c>
      <c r="E86" s="58">
        <f>D86/C86*100</f>
        <v>192.00067647556233</v>
      </c>
    </row>
    <row r="87" spans="1:5" ht="12.75">
      <c r="A87" s="34" t="s">
        <v>830</v>
      </c>
      <c r="B87" s="35"/>
      <c r="C87" s="35"/>
      <c r="D87" s="35"/>
      <c r="E87" s="58"/>
    </row>
    <row r="88" spans="1:5" ht="12.75">
      <c r="A88" s="38" t="s">
        <v>831</v>
      </c>
      <c r="B88" s="528"/>
      <c r="C88" s="528">
        <v>3068</v>
      </c>
      <c r="D88" s="528">
        <f>44+649+788+42+788+825+10-75-2</f>
        <v>3069</v>
      </c>
      <c r="E88" s="58">
        <f>D88/C88*100</f>
        <v>100.03259452411994</v>
      </c>
    </row>
    <row r="89" spans="1:5" ht="12.75">
      <c r="A89" s="38" t="s">
        <v>832</v>
      </c>
      <c r="B89" s="528"/>
      <c r="C89" s="528">
        <v>200</v>
      </c>
      <c r="D89" s="528">
        <v>200</v>
      </c>
      <c r="E89" s="58">
        <f>D89/C89*100</f>
        <v>100</v>
      </c>
    </row>
    <row r="90" spans="1:5" ht="12.75">
      <c r="A90" s="38" t="s">
        <v>833</v>
      </c>
      <c r="B90" s="528"/>
      <c r="C90" s="528"/>
      <c r="D90" s="528">
        <v>210</v>
      </c>
      <c r="E90" s="58"/>
    </row>
    <row r="91" spans="1:5" ht="12.75">
      <c r="A91" s="38" t="s">
        <v>834</v>
      </c>
      <c r="B91" s="528">
        <v>11100</v>
      </c>
      <c r="C91" s="528">
        <v>11100</v>
      </c>
      <c r="D91" s="528">
        <v>11100</v>
      </c>
      <c r="E91" s="58">
        <f>D91/C91*100</f>
        <v>100</v>
      </c>
    </row>
    <row r="92" spans="1:5" ht="12.75">
      <c r="A92" s="38" t="s">
        <v>835</v>
      </c>
      <c r="B92" s="528"/>
      <c r="C92" s="528">
        <v>1114</v>
      </c>
      <c r="D92" s="528">
        <v>1114</v>
      </c>
      <c r="E92" s="58">
        <f aca="true" t="shared" si="4" ref="E92:E105">D92/C92*100</f>
        <v>100</v>
      </c>
    </row>
    <row r="93" spans="1:5" ht="12.75">
      <c r="A93" s="38" t="s">
        <v>836</v>
      </c>
      <c r="B93" s="528"/>
      <c r="C93" s="528">
        <v>393</v>
      </c>
      <c r="D93" s="528">
        <v>393</v>
      </c>
      <c r="E93" s="58">
        <f t="shared" si="4"/>
        <v>100</v>
      </c>
    </row>
    <row r="94" spans="1:5" ht="12.75">
      <c r="A94" s="43" t="s">
        <v>837</v>
      </c>
      <c r="B94" s="531">
        <f>SUM(B88:B93)</f>
        <v>11100</v>
      </c>
      <c r="C94" s="531">
        <f>SUM(C88:C93)</f>
        <v>15875</v>
      </c>
      <c r="D94" s="531">
        <f>SUM(D88:D93)</f>
        <v>16086</v>
      </c>
      <c r="E94" s="58">
        <f t="shared" si="4"/>
        <v>101.32913385826771</v>
      </c>
    </row>
    <row r="95" spans="1:5" ht="12.75">
      <c r="A95" s="38" t="s">
        <v>838</v>
      </c>
      <c r="B95" s="528"/>
      <c r="C95" s="528"/>
      <c r="D95" s="528">
        <v>620</v>
      </c>
      <c r="E95" s="58"/>
    </row>
    <row r="96" spans="1:5" ht="12.75">
      <c r="A96" s="38" t="s">
        <v>839</v>
      </c>
      <c r="B96" s="528"/>
      <c r="C96" s="528">
        <v>1811</v>
      </c>
      <c r="D96" s="528">
        <v>1811</v>
      </c>
      <c r="E96" s="58">
        <f t="shared" si="4"/>
        <v>100</v>
      </c>
    </row>
    <row r="97" spans="1:5" ht="12.75">
      <c r="A97" s="38" t="s">
        <v>840</v>
      </c>
      <c r="B97" s="528"/>
      <c r="C97" s="528">
        <v>2604</v>
      </c>
      <c r="D97" s="528">
        <v>2604</v>
      </c>
      <c r="E97" s="58">
        <f t="shared" si="4"/>
        <v>100</v>
      </c>
    </row>
    <row r="98" spans="1:5" ht="12.75">
      <c r="A98" s="38" t="s">
        <v>841</v>
      </c>
      <c r="B98" s="528"/>
      <c r="C98" s="528">
        <v>3087</v>
      </c>
      <c r="D98" s="528">
        <v>3087</v>
      </c>
      <c r="E98" s="58">
        <f t="shared" si="4"/>
        <v>100</v>
      </c>
    </row>
    <row r="99" spans="1:5" ht="12.75">
      <c r="A99" s="38" t="s">
        <v>842</v>
      </c>
      <c r="B99" s="528"/>
      <c r="C99" s="528">
        <v>834</v>
      </c>
      <c r="D99" s="528">
        <v>1054</v>
      </c>
      <c r="E99" s="58">
        <f t="shared" si="4"/>
        <v>126.37889688249399</v>
      </c>
    </row>
    <row r="100" spans="1:5" ht="12.75">
      <c r="A100" s="38" t="s">
        <v>843</v>
      </c>
      <c r="B100" s="528"/>
      <c r="C100" s="528">
        <v>8120</v>
      </c>
      <c r="D100" s="528">
        <v>7952</v>
      </c>
      <c r="E100" s="58">
        <f t="shared" si="4"/>
        <v>97.93103448275862</v>
      </c>
    </row>
    <row r="101" spans="1:5" ht="12.75">
      <c r="A101" s="43" t="s">
        <v>844</v>
      </c>
      <c r="B101" s="531">
        <f>SUM(B95:B100)</f>
        <v>0</v>
      </c>
      <c r="C101" s="531">
        <f>SUM(C95:C100)</f>
        <v>16456</v>
      </c>
      <c r="D101" s="531">
        <f>SUM(D95:D100)</f>
        <v>17128</v>
      </c>
      <c r="E101" s="58">
        <f t="shared" si="4"/>
        <v>104.08361691784151</v>
      </c>
    </row>
    <row r="102" spans="1:5" ht="12.75">
      <c r="A102" s="38" t="s">
        <v>845</v>
      </c>
      <c r="B102" s="528"/>
      <c r="C102" s="528">
        <v>931</v>
      </c>
      <c r="D102" s="528">
        <v>931</v>
      </c>
      <c r="E102" s="58">
        <f t="shared" si="4"/>
        <v>100</v>
      </c>
    </row>
    <row r="103" spans="1:5" ht="12.75">
      <c r="A103" s="38" t="s">
        <v>846</v>
      </c>
      <c r="B103" s="528"/>
      <c r="C103" s="528"/>
      <c r="D103" s="528">
        <v>4088</v>
      </c>
      <c r="E103" s="58"/>
    </row>
    <row r="104" spans="1:5" ht="12.75">
      <c r="A104" s="38" t="s">
        <v>847</v>
      </c>
      <c r="B104" s="528"/>
      <c r="C104" s="528"/>
      <c r="D104" s="528">
        <v>2650</v>
      </c>
      <c r="E104" s="58"/>
    </row>
    <row r="105" spans="1:5" ht="12.75">
      <c r="A105" s="43" t="s">
        <v>848</v>
      </c>
      <c r="B105" s="531">
        <f>SUM(B102:B104)</f>
        <v>0</v>
      </c>
      <c r="C105" s="531">
        <f>SUM(C102:C104)</f>
        <v>931</v>
      </c>
      <c r="D105" s="531">
        <f>SUM(D102:D104)</f>
        <v>7669</v>
      </c>
      <c r="E105" s="58">
        <f t="shared" si="4"/>
        <v>823.7379162191193</v>
      </c>
    </row>
    <row r="106" spans="1:5" ht="12.75">
      <c r="A106" s="34" t="s">
        <v>849</v>
      </c>
      <c r="B106" s="526">
        <f>SUM(B105,B101,B94)</f>
        <v>11100</v>
      </c>
      <c r="C106" s="526">
        <f>SUM(C105,C101,C94)</f>
        <v>33262</v>
      </c>
      <c r="D106" s="526">
        <f>SUM(D105,D101,D94)</f>
        <v>40883</v>
      </c>
      <c r="E106" s="58">
        <f>D106/C106*100</f>
        <v>122.91203174794059</v>
      </c>
    </row>
    <row r="107" spans="1:5" ht="12.75">
      <c r="A107" s="532" t="s">
        <v>850</v>
      </c>
      <c r="B107" s="528"/>
      <c r="C107" s="528">
        <v>10846</v>
      </c>
      <c r="D107" s="528">
        <v>10846</v>
      </c>
      <c r="E107" s="58">
        <f>D107/C107*100</f>
        <v>100</v>
      </c>
    </row>
    <row r="108" spans="1:5" ht="12.75">
      <c r="A108" s="532" t="s">
        <v>851</v>
      </c>
      <c r="B108" s="528"/>
      <c r="C108" s="528"/>
      <c r="D108" s="528">
        <v>17</v>
      </c>
      <c r="E108" s="58"/>
    </row>
    <row r="109" spans="1:5" ht="12.75">
      <c r="A109" s="532" t="s">
        <v>852</v>
      </c>
      <c r="B109" s="528"/>
      <c r="C109" s="528"/>
      <c r="D109" s="528">
        <v>247</v>
      </c>
      <c r="E109" s="58"/>
    </row>
    <row r="110" spans="1:5" ht="12.75">
      <c r="A110" s="532" t="s">
        <v>853</v>
      </c>
      <c r="B110" s="528"/>
      <c r="C110" s="528">
        <v>546</v>
      </c>
      <c r="D110" s="528">
        <v>546</v>
      </c>
      <c r="E110" s="58">
        <f aca="true" t="shared" si="5" ref="E110:E116">D110/C110*100</f>
        <v>100</v>
      </c>
    </row>
    <row r="111" spans="1:5" ht="12.75">
      <c r="A111" s="532" t="s">
        <v>854</v>
      </c>
      <c r="B111" s="528"/>
      <c r="C111" s="528">
        <v>1393</v>
      </c>
      <c r="D111" s="528">
        <v>1393</v>
      </c>
      <c r="E111" s="58">
        <f t="shared" si="5"/>
        <v>100</v>
      </c>
    </row>
    <row r="112" spans="1:5" ht="12.75">
      <c r="A112" s="532" t="s">
        <v>855</v>
      </c>
      <c r="B112" s="528"/>
      <c r="C112" s="528">
        <v>1196</v>
      </c>
      <c r="D112" s="528">
        <v>1196</v>
      </c>
      <c r="E112" s="58">
        <f t="shared" si="5"/>
        <v>100</v>
      </c>
    </row>
    <row r="113" spans="1:5" ht="12.75">
      <c r="A113" s="533" t="s">
        <v>856</v>
      </c>
      <c r="B113" s="35">
        <f>SUM(B107:B112)</f>
        <v>0</v>
      </c>
      <c r="C113" s="35">
        <f>SUM(C107:C112)</f>
        <v>13981</v>
      </c>
      <c r="D113" s="35">
        <f>SUM(D107:D112)</f>
        <v>14245</v>
      </c>
      <c r="E113" s="58">
        <f t="shared" si="5"/>
        <v>101.88827694728559</v>
      </c>
    </row>
    <row r="114" spans="1:5" ht="12.75">
      <c r="A114" s="34" t="s">
        <v>857</v>
      </c>
      <c r="B114" s="35">
        <f>SUM(B119,B123)</f>
        <v>58982</v>
      </c>
      <c r="C114" s="35">
        <f>SUM(C119,C123)</f>
        <v>71658</v>
      </c>
      <c r="D114" s="35">
        <f>SUM(D119,D123)</f>
        <v>0</v>
      </c>
      <c r="E114" s="58">
        <f t="shared" si="5"/>
        <v>0</v>
      </c>
    </row>
    <row r="115" spans="1:5" ht="12.75">
      <c r="A115" s="38" t="s">
        <v>858</v>
      </c>
      <c r="B115" s="526"/>
      <c r="C115" s="528">
        <v>18823</v>
      </c>
      <c r="D115" s="526"/>
      <c r="E115" s="58">
        <f t="shared" si="5"/>
        <v>0</v>
      </c>
    </row>
    <row r="116" spans="1:5" ht="12.75">
      <c r="A116" s="38" t="s">
        <v>859</v>
      </c>
      <c r="B116" s="528">
        <v>49029</v>
      </c>
      <c r="C116" s="528">
        <v>49029</v>
      </c>
      <c r="D116" s="526"/>
      <c r="E116" s="58">
        <f t="shared" si="5"/>
        <v>0</v>
      </c>
    </row>
    <row r="117" spans="1:5" ht="12.75">
      <c r="A117" s="38" t="s">
        <v>860</v>
      </c>
      <c r="B117" s="526"/>
      <c r="C117" s="526"/>
      <c r="D117" s="526"/>
      <c r="E117" s="58"/>
    </row>
    <row r="118" spans="1:5" ht="12.75">
      <c r="A118" s="38" t="s">
        <v>861</v>
      </c>
      <c r="B118" s="36">
        <v>6147</v>
      </c>
      <c r="C118" s="36"/>
      <c r="D118" s="36"/>
      <c r="E118" s="58"/>
    </row>
    <row r="119" spans="1:5" ht="12.75">
      <c r="A119" s="43" t="s">
        <v>862</v>
      </c>
      <c r="B119" s="44">
        <f>SUM(B115:B118)</f>
        <v>55176</v>
      </c>
      <c r="C119" s="44">
        <f>SUM(C115:C118)</f>
        <v>67852</v>
      </c>
      <c r="D119" s="44"/>
      <c r="E119" s="58">
        <f>D119/C119*100</f>
        <v>0</v>
      </c>
    </row>
    <row r="120" spans="1:5" ht="12.75">
      <c r="A120" s="38"/>
      <c r="B120" s="528"/>
      <c r="C120" s="528"/>
      <c r="D120" s="528"/>
      <c r="E120" s="58"/>
    </row>
    <row r="121" spans="1:5" ht="12.75">
      <c r="A121" s="38" t="s">
        <v>863</v>
      </c>
      <c r="B121" s="528">
        <v>3806</v>
      </c>
      <c r="C121" s="528">
        <v>3806</v>
      </c>
      <c r="D121" s="528"/>
      <c r="E121" s="58">
        <f>D121/C121*100</f>
        <v>0</v>
      </c>
    </row>
    <row r="122" spans="1:5" ht="12.75">
      <c r="A122" s="38"/>
      <c r="B122" s="528"/>
      <c r="C122" s="528"/>
      <c r="D122" s="528"/>
      <c r="E122" s="58"/>
    </row>
    <row r="123" spans="1:5" ht="12.75">
      <c r="A123" s="43" t="s">
        <v>864</v>
      </c>
      <c r="B123" s="44">
        <f>SUM(B120:B122)</f>
        <v>3806</v>
      </c>
      <c r="C123" s="44">
        <f>SUM(C120:C122)</f>
        <v>3806</v>
      </c>
      <c r="D123" s="44"/>
      <c r="E123" s="58">
        <f>D123/C123*100</f>
        <v>0</v>
      </c>
    </row>
    <row r="124" spans="1:5" ht="12.75">
      <c r="A124" s="38" t="s">
        <v>865</v>
      </c>
      <c r="B124" s="36">
        <f>SUM(B114,B20)</f>
        <v>99207</v>
      </c>
      <c r="C124" s="36">
        <f>SUM(C114,C20)</f>
        <v>147741</v>
      </c>
      <c r="D124" s="36">
        <f>SUM(D114,D20)</f>
        <v>90671</v>
      </c>
      <c r="E124" s="58">
        <f>D124/C124*100</f>
        <v>61.37158947076302</v>
      </c>
    </row>
    <row r="125" spans="1:5" ht="12.75">
      <c r="A125" s="34" t="s">
        <v>866</v>
      </c>
      <c r="B125" s="35">
        <f>SUM(B124,B5)</f>
        <v>100280</v>
      </c>
      <c r="C125" s="35">
        <f>SUM(C124,C5)</f>
        <v>148910</v>
      </c>
      <c r="D125" s="35">
        <f>SUM(D124,D5)</f>
        <v>91481</v>
      </c>
      <c r="E125" s="58">
        <f>D125/C125*100</f>
        <v>61.43375193069639</v>
      </c>
    </row>
  </sheetData>
  <sheetProtection selectLockedCells="1" selectUnlockedCells="1"/>
  <mergeCells count="2">
    <mergeCell ref="A1:E1"/>
    <mergeCell ref="B2:E2"/>
  </mergeCells>
  <printOptions/>
  <pageMargins left="0.7479166666666667" right="0.7479166666666667" top="0.9840277777777777" bottom="0.9840277777777777" header="0.5" footer="0.5"/>
  <pageSetup horizontalDpi="300" verticalDpi="300" orientation="portrait" paperSize="9" scale="80"/>
  <headerFooter alignWithMargins="0">
    <oddHeader>&amp;L&amp;12Vámospércs Városi Önkormányzat&amp;R&amp;"Arial,Dőlt"&amp;12 4. számú tájékoztató tábla</oddHeader>
    <oddFooter>&amp;C&amp;P. oldal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6" sqref="C16"/>
    </sheetView>
  </sheetViews>
  <sheetFormatPr defaultColWidth="9.140625" defaultRowHeight="12.75"/>
  <cols>
    <col min="3" max="3" width="61.421875" style="0" customWidth="1"/>
  </cols>
  <sheetData>
    <row r="1" spans="1:3" ht="71.25" customHeight="1">
      <c r="A1" s="7" t="s">
        <v>2</v>
      </c>
      <c r="B1" s="7"/>
      <c r="C1" s="7"/>
    </row>
    <row r="2" spans="1:3" ht="22.5" customHeight="1">
      <c r="A2" s="8" t="s">
        <v>29</v>
      </c>
      <c r="B2" s="9" t="s">
        <v>30</v>
      </c>
      <c r="C2" s="9" t="s">
        <v>31</v>
      </c>
    </row>
    <row r="3" spans="1:3" ht="22.5" customHeight="1">
      <c r="A3" s="10" t="s">
        <v>1</v>
      </c>
      <c r="B3" s="10"/>
      <c r="C3" s="10" t="s">
        <v>32</v>
      </c>
    </row>
    <row r="4" spans="1:3" ht="25.5" customHeight="1">
      <c r="A4" s="11"/>
      <c r="B4" s="12" t="s">
        <v>1</v>
      </c>
      <c r="C4" s="13" t="s">
        <v>33</v>
      </c>
    </row>
    <row r="5" spans="1:3" ht="25.5" customHeight="1">
      <c r="A5" s="11"/>
      <c r="B5" s="14" t="s">
        <v>3</v>
      </c>
      <c r="C5" s="15" t="s">
        <v>34</v>
      </c>
    </row>
    <row r="6" spans="1:3" ht="25.5" customHeight="1">
      <c r="A6" s="11"/>
      <c r="B6" s="14" t="s">
        <v>5</v>
      </c>
      <c r="C6" s="15" t="s">
        <v>35</v>
      </c>
    </row>
    <row r="7" spans="1:3" ht="25.5" customHeight="1">
      <c r="A7" s="11"/>
      <c r="B7" s="14" t="s">
        <v>7</v>
      </c>
      <c r="C7" s="15" t="s">
        <v>36</v>
      </c>
    </row>
    <row r="8" spans="1:3" ht="39" customHeight="1">
      <c r="A8" s="11"/>
      <c r="B8" s="14" t="s">
        <v>9</v>
      </c>
      <c r="C8" s="15" t="s">
        <v>37</v>
      </c>
    </row>
    <row r="9" spans="1:3" ht="25.5" customHeight="1">
      <c r="A9" s="11"/>
      <c r="B9" s="14" t="s">
        <v>11</v>
      </c>
      <c r="C9" s="15" t="s">
        <v>38</v>
      </c>
    </row>
    <row r="10" spans="1:3" ht="25.5" customHeight="1">
      <c r="A10" s="15"/>
      <c r="B10" s="14" t="s">
        <v>13</v>
      </c>
      <c r="C10" s="15" t="s">
        <v>39</v>
      </c>
    </row>
    <row r="11" spans="1:3" ht="25.5" customHeight="1">
      <c r="A11" s="16"/>
      <c r="B11" s="14" t="s">
        <v>15</v>
      </c>
      <c r="C11" s="17" t="s">
        <v>40</v>
      </c>
    </row>
    <row r="12" spans="1:3" ht="22.5" customHeight="1">
      <c r="A12" s="18" t="s">
        <v>3</v>
      </c>
      <c r="B12" s="10"/>
      <c r="C12" s="10" t="s">
        <v>41</v>
      </c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&amp;LVámospércs Városi Önkormányzat&amp;R1.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K146"/>
  <sheetViews>
    <sheetView workbookViewId="0" topLeftCell="A1">
      <selection activeCell="A34" sqref="A34"/>
    </sheetView>
  </sheetViews>
  <sheetFormatPr defaultColWidth="9.140625" defaultRowHeight="12.75"/>
  <cols>
    <col min="1" max="37" width="4.28125" style="0" customWidth="1"/>
  </cols>
  <sheetData>
    <row r="1" spans="1:37" ht="12.75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</row>
    <row r="2" spans="12:37" ht="12.75">
      <c r="L2" s="534"/>
      <c r="M2" s="534"/>
      <c r="N2" s="534"/>
      <c r="O2" s="534"/>
      <c r="P2" s="534"/>
      <c r="Q2" s="534"/>
      <c r="R2" s="534"/>
      <c r="S2" s="534"/>
      <c r="T2" s="534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</row>
    <row r="3" spans="1:37" ht="12.75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4"/>
      <c r="M3" s="534"/>
      <c r="N3" s="537" t="s">
        <v>867</v>
      </c>
      <c r="O3" s="537"/>
      <c r="P3" s="537"/>
      <c r="Q3" s="537"/>
      <c r="R3" s="537"/>
      <c r="S3" s="537"/>
      <c r="T3" s="537"/>
      <c r="U3" s="536"/>
      <c r="V3" s="536"/>
      <c r="W3" s="536"/>
      <c r="X3" s="536"/>
      <c r="Y3" s="536"/>
      <c r="Z3" s="538"/>
      <c r="AA3" s="538"/>
      <c r="AB3" s="539"/>
      <c r="AC3" s="539"/>
      <c r="AD3" s="539"/>
      <c r="AE3" s="539"/>
      <c r="AF3" s="539"/>
      <c r="AG3" s="539"/>
      <c r="AH3" s="539"/>
      <c r="AI3" s="539"/>
      <c r="AJ3" s="539"/>
      <c r="AK3" s="540"/>
    </row>
    <row r="4" spans="12:26" ht="12.75">
      <c r="L4" s="534"/>
      <c r="M4" s="534"/>
      <c r="N4" s="534"/>
      <c r="O4" s="534"/>
      <c r="P4" s="534"/>
      <c r="Q4" s="534"/>
      <c r="R4" s="534"/>
      <c r="S4" s="534"/>
      <c r="T4" s="534"/>
      <c r="U4" s="535"/>
      <c r="V4" s="535"/>
      <c r="W4" s="535"/>
      <c r="X4" s="535"/>
      <c r="Y4" s="535"/>
      <c r="Z4" s="535"/>
    </row>
    <row r="5" spans="1:37" ht="12.75">
      <c r="A5" s="541"/>
      <c r="B5" s="541"/>
      <c r="C5" s="541"/>
      <c r="D5" s="541"/>
      <c r="E5" s="541"/>
      <c r="F5" s="541"/>
      <c r="G5" s="542"/>
      <c r="H5" s="541"/>
      <c r="I5" s="541"/>
      <c r="J5" s="541"/>
      <c r="K5" s="541"/>
      <c r="L5" s="543"/>
      <c r="M5" s="534"/>
      <c r="N5" s="544"/>
      <c r="O5" s="545" t="s">
        <v>196</v>
      </c>
      <c r="P5" s="546"/>
      <c r="Q5" s="544"/>
      <c r="R5" s="544"/>
      <c r="S5" s="544"/>
      <c r="T5" s="547"/>
      <c r="U5" s="548"/>
      <c r="V5" s="548"/>
      <c r="W5" s="548"/>
      <c r="X5" s="548"/>
      <c r="Y5" s="548"/>
      <c r="Z5" s="548"/>
      <c r="AA5" s="541"/>
      <c r="AB5" s="541"/>
      <c r="AC5" s="541"/>
      <c r="AD5" s="536"/>
      <c r="AE5" s="549"/>
      <c r="AF5" s="549"/>
      <c r="AG5" s="549"/>
      <c r="AH5" s="549"/>
      <c r="AI5" s="549"/>
      <c r="AJ5" s="549"/>
      <c r="AK5" s="549"/>
    </row>
    <row r="7" spans="26:37" ht="12.75">
      <c r="Z7" s="550"/>
      <c r="AA7" s="550"/>
      <c r="AB7" s="550"/>
      <c r="AC7" s="550"/>
      <c r="AD7" s="550"/>
      <c r="AE7" s="550"/>
      <c r="AF7" s="551" t="s">
        <v>516</v>
      </c>
      <c r="AG7" s="551"/>
      <c r="AH7" s="551"/>
      <c r="AI7" s="551"/>
      <c r="AJ7" s="551"/>
      <c r="AK7" s="551"/>
    </row>
    <row r="8" spans="1:37" ht="12.75" customHeight="1">
      <c r="A8" s="552" t="s">
        <v>517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3" t="s">
        <v>44</v>
      </c>
      <c r="AA8" s="553"/>
      <c r="AB8" s="554" t="s">
        <v>488</v>
      </c>
      <c r="AC8" s="554"/>
      <c r="AD8" s="554"/>
      <c r="AE8" s="554"/>
      <c r="AF8" s="554"/>
      <c r="AG8" s="554" t="s">
        <v>490</v>
      </c>
      <c r="AH8" s="554"/>
      <c r="AI8" s="554"/>
      <c r="AJ8" s="554"/>
      <c r="AK8" s="554"/>
    </row>
    <row r="9" spans="1:37" ht="12.75">
      <c r="A9" s="552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3"/>
      <c r="AA9" s="553"/>
      <c r="AB9" s="554" t="s">
        <v>518</v>
      </c>
      <c r="AC9" s="554"/>
      <c r="AD9" s="554"/>
      <c r="AE9" s="554"/>
      <c r="AF9" s="554"/>
      <c r="AG9" s="554"/>
      <c r="AH9" s="554"/>
      <c r="AI9" s="554"/>
      <c r="AJ9" s="554"/>
      <c r="AK9" s="554"/>
    </row>
    <row r="10" spans="1:37" ht="12.75" customHeight="1">
      <c r="A10" s="555" t="s">
        <v>519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6">
        <v>2</v>
      </c>
      <c r="AA10" s="556"/>
      <c r="AB10" s="556">
        <v>3</v>
      </c>
      <c r="AC10" s="556"/>
      <c r="AD10" s="556"/>
      <c r="AE10" s="556"/>
      <c r="AF10" s="556"/>
      <c r="AG10" s="556">
        <v>4</v>
      </c>
      <c r="AH10" s="556"/>
      <c r="AI10" s="556"/>
      <c r="AJ10" s="556"/>
      <c r="AK10" s="556"/>
    </row>
    <row r="11" spans="1:37" ht="12.75" customHeight="1">
      <c r="A11" s="557" t="s">
        <v>520</v>
      </c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8">
        <v>1</v>
      </c>
      <c r="AA11" s="558"/>
      <c r="AB11" s="558">
        <v>0</v>
      </c>
      <c r="AC11" s="558"/>
      <c r="AD11" s="558"/>
      <c r="AE11" s="558"/>
      <c r="AF11" s="558"/>
      <c r="AG11" s="558">
        <v>0</v>
      </c>
      <c r="AH11" s="558"/>
      <c r="AI11" s="558"/>
      <c r="AJ11" s="558"/>
      <c r="AK11" s="558"/>
    </row>
    <row r="12" spans="1:37" ht="12.75" customHeight="1">
      <c r="A12" s="557" t="s">
        <v>521</v>
      </c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8">
        <v>2</v>
      </c>
      <c r="AA12" s="558"/>
      <c r="AB12" s="558">
        <v>0</v>
      </c>
      <c r="AC12" s="558"/>
      <c r="AD12" s="558"/>
      <c r="AE12" s="558"/>
      <c r="AF12" s="558"/>
      <c r="AG12" s="558">
        <v>0</v>
      </c>
      <c r="AH12" s="558"/>
      <c r="AI12" s="558"/>
      <c r="AJ12" s="558"/>
      <c r="AK12" s="558"/>
    </row>
    <row r="13" spans="1:37" ht="12.75" customHeight="1">
      <c r="A13" s="557" t="s">
        <v>868</v>
      </c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8">
        <v>3</v>
      </c>
      <c r="AA13" s="558"/>
      <c r="AB13" s="558">
        <v>1267</v>
      </c>
      <c r="AC13" s="558"/>
      <c r="AD13" s="558"/>
      <c r="AE13" s="558"/>
      <c r="AF13" s="558"/>
      <c r="AG13" s="558">
        <v>1916</v>
      </c>
      <c r="AH13" s="558"/>
      <c r="AI13" s="558"/>
      <c r="AJ13" s="558"/>
      <c r="AK13" s="558"/>
    </row>
    <row r="14" spans="1:37" ht="12.75" customHeight="1">
      <c r="A14" s="557" t="s">
        <v>869</v>
      </c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8">
        <v>4</v>
      </c>
      <c r="AA14" s="558"/>
      <c r="AB14" s="558">
        <v>17522</v>
      </c>
      <c r="AC14" s="558"/>
      <c r="AD14" s="558"/>
      <c r="AE14" s="558"/>
      <c r="AF14" s="558"/>
      <c r="AG14" s="558">
        <v>12381</v>
      </c>
      <c r="AH14" s="558"/>
      <c r="AI14" s="558"/>
      <c r="AJ14" s="558"/>
      <c r="AK14" s="558"/>
    </row>
    <row r="15" spans="1:37" ht="12.75" customHeight="1">
      <c r="A15" s="557" t="s">
        <v>870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8">
        <v>5</v>
      </c>
      <c r="AA15" s="558"/>
      <c r="AB15" s="558">
        <v>21831</v>
      </c>
      <c r="AC15" s="558"/>
      <c r="AD15" s="558"/>
      <c r="AE15" s="558"/>
      <c r="AF15" s="558"/>
      <c r="AG15" s="558">
        <v>21831</v>
      </c>
      <c r="AH15" s="558"/>
      <c r="AI15" s="558"/>
      <c r="AJ15" s="558"/>
      <c r="AK15" s="558"/>
    </row>
    <row r="16" spans="1:37" ht="12.75" customHeight="1">
      <c r="A16" s="557" t="s">
        <v>524</v>
      </c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8">
        <v>6</v>
      </c>
      <c r="AA16" s="558"/>
      <c r="AB16" s="558">
        <f>AG16</f>
        <v>0</v>
      </c>
      <c r="AC16" s="558"/>
      <c r="AD16" s="558"/>
      <c r="AE16" s="558"/>
      <c r="AF16" s="558"/>
      <c r="AG16" s="558">
        <v>0</v>
      </c>
      <c r="AH16" s="558"/>
      <c r="AI16" s="558"/>
      <c r="AJ16" s="558"/>
      <c r="AK16" s="558"/>
    </row>
    <row r="17" spans="1:37" ht="12.75" customHeight="1">
      <c r="A17" s="557" t="s">
        <v>525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8">
        <v>7</v>
      </c>
      <c r="AA17" s="558"/>
      <c r="AB17" s="558">
        <f>AG17</f>
        <v>0</v>
      </c>
      <c r="AC17" s="558"/>
      <c r="AD17" s="558"/>
      <c r="AE17" s="558"/>
      <c r="AF17" s="558"/>
      <c r="AG17" s="558">
        <v>0</v>
      </c>
      <c r="AH17" s="558"/>
      <c r="AI17" s="558"/>
      <c r="AJ17" s="558"/>
      <c r="AK17" s="558"/>
    </row>
    <row r="18" spans="1:37" ht="12.75" customHeight="1">
      <c r="A18" s="559" t="s">
        <v>871</v>
      </c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60">
        <v>8</v>
      </c>
      <c r="AA18" s="560"/>
      <c r="AB18" s="560">
        <f>SUM(AB13:AF14)</f>
        <v>18789</v>
      </c>
      <c r="AC18" s="560"/>
      <c r="AD18" s="560"/>
      <c r="AE18" s="560"/>
      <c r="AF18" s="560"/>
      <c r="AG18" s="560">
        <f>AG11+AG12+AG13+AG14+AG16+AG17</f>
        <v>14297</v>
      </c>
      <c r="AH18" s="560"/>
      <c r="AI18" s="560"/>
      <c r="AJ18" s="560"/>
      <c r="AK18" s="560"/>
    </row>
    <row r="19" spans="1:37" ht="12.75" customHeight="1">
      <c r="A19" s="557" t="s">
        <v>872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8">
        <v>9</v>
      </c>
      <c r="AA19" s="558"/>
      <c r="AB19" s="558">
        <v>1539006</v>
      </c>
      <c r="AC19" s="558"/>
      <c r="AD19" s="558"/>
      <c r="AE19" s="558"/>
      <c r="AF19" s="558"/>
      <c r="AG19" s="558">
        <v>1522905</v>
      </c>
      <c r="AH19" s="558"/>
      <c r="AI19" s="558"/>
      <c r="AJ19" s="558"/>
      <c r="AK19" s="558"/>
    </row>
    <row r="20" spans="1:37" ht="12.75" customHeight="1">
      <c r="A20" s="557" t="s">
        <v>873</v>
      </c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8">
        <v>10</v>
      </c>
      <c r="AA20" s="558"/>
      <c r="AB20" s="558">
        <v>77135</v>
      </c>
      <c r="AC20" s="558"/>
      <c r="AD20" s="558"/>
      <c r="AE20" s="558"/>
      <c r="AF20" s="558"/>
      <c r="AG20" s="558">
        <v>76540</v>
      </c>
      <c r="AH20" s="558"/>
      <c r="AI20" s="558"/>
      <c r="AJ20" s="558"/>
      <c r="AK20" s="558"/>
    </row>
    <row r="21" spans="1:37" ht="12.75" customHeight="1">
      <c r="A21" s="557" t="s">
        <v>874</v>
      </c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8">
        <v>11</v>
      </c>
      <c r="AA21" s="558"/>
      <c r="AB21" s="558">
        <v>188</v>
      </c>
      <c r="AC21" s="558"/>
      <c r="AD21" s="558"/>
      <c r="AE21" s="558"/>
      <c r="AF21" s="558"/>
      <c r="AG21" s="558">
        <v>188</v>
      </c>
      <c r="AH21" s="558"/>
      <c r="AI21" s="558"/>
      <c r="AJ21" s="558"/>
      <c r="AK21" s="558"/>
    </row>
    <row r="22" spans="1:37" ht="12.75" customHeight="1">
      <c r="A22" s="557" t="s">
        <v>875</v>
      </c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8">
        <v>12</v>
      </c>
      <c r="AA22" s="558"/>
      <c r="AB22" s="558">
        <v>0</v>
      </c>
      <c r="AC22" s="558"/>
      <c r="AD22" s="558"/>
      <c r="AE22" s="558"/>
      <c r="AF22" s="558"/>
      <c r="AG22" s="558">
        <v>0</v>
      </c>
      <c r="AH22" s="558"/>
      <c r="AI22" s="558"/>
      <c r="AJ22" s="558"/>
      <c r="AK22" s="558"/>
    </row>
    <row r="23" spans="1:37" ht="12.75" customHeight="1">
      <c r="A23" s="557" t="s">
        <v>876</v>
      </c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8">
        <v>13</v>
      </c>
      <c r="AA23" s="558"/>
      <c r="AB23" s="558">
        <v>32613</v>
      </c>
      <c r="AC23" s="558"/>
      <c r="AD23" s="558"/>
      <c r="AE23" s="558"/>
      <c r="AF23" s="558"/>
      <c r="AG23" s="558">
        <v>27452</v>
      </c>
      <c r="AH23" s="558"/>
      <c r="AI23" s="558"/>
      <c r="AJ23" s="558"/>
      <c r="AK23" s="558"/>
    </row>
    <row r="24" spans="1:37" ht="12.75" customHeight="1">
      <c r="A24" s="557" t="s">
        <v>877</v>
      </c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8">
        <v>14</v>
      </c>
      <c r="AA24" s="558"/>
      <c r="AB24" s="558">
        <v>45294</v>
      </c>
      <c r="AC24" s="558"/>
      <c r="AD24" s="558"/>
      <c r="AE24" s="558"/>
      <c r="AF24" s="558"/>
      <c r="AG24" s="558">
        <v>50364</v>
      </c>
      <c r="AH24" s="558"/>
      <c r="AI24" s="558"/>
      <c r="AJ24" s="558"/>
      <c r="AK24" s="558"/>
    </row>
    <row r="25" spans="1:37" ht="12.75" customHeight="1">
      <c r="A25" s="557" t="s">
        <v>878</v>
      </c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8">
        <v>15</v>
      </c>
      <c r="AA25" s="558"/>
      <c r="AB25" s="558">
        <v>6096</v>
      </c>
      <c r="AC25" s="558"/>
      <c r="AD25" s="558"/>
      <c r="AE25" s="558"/>
      <c r="AF25" s="558"/>
      <c r="AG25" s="558">
        <v>6096</v>
      </c>
      <c r="AH25" s="558"/>
      <c r="AI25" s="558"/>
      <c r="AJ25" s="558"/>
      <c r="AK25" s="558"/>
    </row>
    <row r="26" spans="1:37" ht="12.75" customHeight="1">
      <c r="A26" s="557" t="s">
        <v>879</v>
      </c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8">
        <v>16</v>
      </c>
      <c r="AA26" s="558"/>
      <c r="AB26" s="558">
        <v>7491</v>
      </c>
      <c r="AC26" s="558"/>
      <c r="AD26" s="558"/>
      <c r="AE26" s="558"/>
      <c r="AF26" s="558"/>
      <c r="AG26" s="558">
        <v>2978</v>
      </c>
      <c r="AH26" s="558"/>
      <c r="AI26" s="558"/>
      <c r="AJ26" s="558"/>
      <c r="AK26" s="558"/>
    </row>
    <row r="27" spans="1:37" ht="12.75" customHeight="1">
      <c r="A27" s="557" t="s">
        <v>880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8">
        <v>17</v>
      </c>
      <c r="AA27" s="558"/>
      <c r="AB27" s="558">
        <v>2143</v>
      </c>
      <c r="AC27" s="558"/>
      <c r="AD27" s="558"/>
      <c r="AE27" s="558"/>
      <c r="AF27" s="558"/>
      <c r="AG27" s="558">
        <v>2143</v>
      </c>
      <c r="AH27" s="558"/>
      <c r="AI27" s="558"/>
      <c r="AJ27" s="558"/>
      <c r="AK27" s="558"/>
    </row>
    <row r="28" spans="1:37" ht="12.75" customHeight="1">
      <c r="A28" s="557" t="s">
        <v>530</v>
      </c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8">
        <v>18</v>
      </c>
      <c r="AA28" s="558"/>
      <c r="AB28" s="558">
        <v>0</v>
      </c>
      <c r="AC28" s="558"/>
      <c r="AD28" s="558"/>
      <c r="AE28" s="558"/>
      <c r="AF28" s="558"/>
      <c r="AG28" s="558">
        <v>0</v>
      </c>
      <c r="AH28" s="558"/>
      <c r="AI28" s="558"/>
      <c r="AJ28" s="558"/>
      <c r="AK28" s="558"/>
    </row>
    <row r="29" spans="1:37" ht="12.75" customHeight="1">
      <c r="A29" s="557" t="s">
        <v>531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8">
        <v>19</v>
      </c>
      <c r="AA29" s="558"/>
      <c r="AB29" s="558">
        <v>56959</v>
      </c>
      <c r="AC29" s="558"/>
      <c r="AD29" s="558"/>
      <c r="AE29" s="558"/>
      <c r="AF29" s="558"/>
      <c r="AG29" s="558">
        <v>80644</v>
      </c>
      <c r="AH29" s="558"/>
      <c r="AI29" s="558"/>
      <c r="AJ29" s="558"/>
      <c r="AK29" s="558"/>
    </row>
    <row r="30" spans="1:37" ht="12.75" customHeight="1">
      <c r="A30" s="557" t="s">
        <v>532</v>
      </c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8">
        <v>20</v>
      </c>
      <c r="AA30" s="558"/>
      <c r="AB30" s="558">
        <v>0</v>
      </c>
      <c r="AC30" s="558"/>
      <c r="AD30" s="558"/>
      <c r="AE30" s="558"/>
      <c r="AF30" s="558"/>
      <c r="AG30" s="558">
        <v>0</v>
      </c>
      <c r="AH30" s="558"/>
      <c r="AI30" s="558"/>
      <c r="AJ30" s="558"/>
      <c r="AK30" s="558"/>
    </row>
    <row r="31" spans="1:37" ht="12.75" customHeight="1">
      <c r="A31" s="557" t="s">
        <v>533</v>
      </c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8">
        <v>21</v>
      </c>
      <c r="AA31" s="558"/>
      <c r="AB31" s="558">
        <v>0</v>
      </c>
      <c r="AC31" s="558"/>
      <c r="AD31" s="558"/>
      <c r="AE31" s="558"/>
      <c r="AF31" s="558"/>
      <c r="AG31" s="558">
        <v>0</v>
      </c>
      <c r="AH31" s="558"/>
      <c r="AI31" s="558"/>
      <c r="AJ31" s="558"/>
      <c r="AK31" s="558"/>
    </row>
    <row r="32" spans="1:37" ht="12.75" customHeight="1">
      <c r="A32" s="557" t="s">
        <v>534</v>
      </c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8">
        <v>22</v>
      </c>
      <c r="AA32" s="558"/>
      <c r="AB32" s="558">
        <v>0</v>
      </c>
      <c r="AC32" s="558"/>
      <c r="AD32" s="558"/>
      <c r="AE32" s="558"/>
      <c r="AF32" s="558"/>
      <c r="AG32" s="558">
        <v>0</v>
      </c>
      <c r="AH32" s="558"/>
      <c r="AI32" s="558"/>
      <c r="AJ32" s="558"/>
      <c r="AK32" s="558"/>
    </row>
    <row r="33" spans="1:37" ht="12.75" customHeight="1">
      <c r="A33" s="559" t="s">
        <v>881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60">
        <v>23</v>
      </c>
      <c r="AA33" s="560"/>
      <c r="AB33" s="560">
        <v>1713204</v>
      </c>
      <c r="AC33" s="560"/>
      <c r="AD33" s="560"/>
      <c r="AE33" s="560"/>
      <c r="AF33" s="560"/>
      <c r="AG33" s="560">
        <f>AG19+AG20+AG22+AG23+AG26+AG29</f>
        <v>1710519</v>
      </c>
      <c r="AH33" s="560"/>
      <c r="AI33" s="560"/>
      <c r="AJ33" s="560"/>
      <c r="AK33" s="560"/>
    </row>
    <row r="34" spans="1:37" ht="12.75" customHeight="1">
      <c r="A34" s="557" t="s">
        <v>536</v>
      </c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8">
        <v>24</v>
      </c>
      <c r="AA34" s="558"/>
      <c r="AB34" s="558">
        <v>6966</v>
      </c>
      <c r="AC34" s="558"/>
      <c r="AD34" s="558"/>
      <c r="AE34" s="558"/>
      <c r="AF34" s="558"/>
      <c r="AG34" s="558">
        <v>8276</v>
      </c>
      <c r="AH34" s="558"/>
      <c r="AI34" s="558"/>
      <c r="AJ34" s="558"/>
      <c r="AK34" s="558"/>
    </row>
    <row r="35" spans="1:37" ht="12.75" customHeight="1">
      <c r="A35" s="557" t="s">
        <v>537</v>
      </c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8">
        <v>25</v>
      </c>
      <c r="AA35" s="558"/>
      <c r="AB35" s="558">
        <f>AG35</f>
        <v>0</v>
      </c>
      <c r="AC35" s="558"/>
      <c r="AD35" s="558"/>
      <c r="AE35" s="558"/>
      <c r="AF35" s="558"/>
      <c r="AG35" s="558">
        <v>0</v>
      </c>
      <c r="AH35" s="558"/>
      <c r="AI35" s="558"/>
      <c r="AJ35" s="558"/>
      <c r="AK35" s="558"/>
    </row>
    <row r="36" spans="1:37" ht="12.75" customHeight="1">
      <c r="A36" s="557" t="s">
        <v>538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8">
        <v>26</v>
      </c>
      <c r="AA36" s="558"/>
      <c r="AB36" s="558">
        <f>AG36</f>
        <v>0</v>
      </c>
      <c r="AC36" s="558"/>
      <c r="AD36" s="558"/>
      <c r="AE36" s="558"/>
      <c r="AF36" s="558"/>
      <c r="AG36" s="558">
        <v>0</v>
      </c>
      <c r="AH36" s="558"/>
      <c r="AI36" s="558"/>
      <c r="AJ36" s="558"/>
      <c r="AK36" s="558"/>
    </row>
    <row r="37" spans="1:37" ht="12.75" customHeight="1">
      <c r="A37" s="557" t="s">
        <v>539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558">
        <v>27</v>
      </c>
      <c r="AA37" s="558"/>
      <c r="AB37" s="558">
        <f>AG37</f>
        <v>0</v>
      </c>
      <c r="AC37" s="558"/>
      <c r="AD37" s="558"/>
      <c r="AE37" s="558"/>
      <c r="AF37" s="558"/>
      <c r="AG37" s="558">
        <v>0</v>
      </c>
      <c r="AH37" s="558"/>
      <c r="AI37" s="558"/>
      <c r="AJ37" s="558"/>
      <c r="AK37" s="558"/>
    </row>
    <row r="38" spans="1:37" ht="12.75" customHeight="1">
      <c r="A38" s="557" t="s">
        <v>540</v>
      </c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8">
        <v>28</v>
      </c>
      <c r="AA38" s="558"/>
      <c r="AB38" s="558">
        <f>AG38</f>
        <v>0</v>
      </c>
      <c r="AC38" s="558"/>
      <c r="AD38" s="558"/>
      <c r="AE38" s="558"/>
      <c r="AF38" s="558"/>
      <c r="AG38" s="558">
        <v>0</v>
      </c>
      <c r="AH38" s="558"/>
      <c r="AI38" s="558"/>
      <c r="AJ38" s="558"/>
      <c r="AK38" s="558"/>
    </row>
    <row r="39" spans="1:37" ht="12.75" customHeight="1">
      <c r="A39" s="557" t="s">
        <v>541</v>
      </c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8">
        <v>29</v>
      </c>
      <c r="AA39" s="558"/>
      <c r="AB39" s="558">
        <f>AG39</f>
        <v>0</v>
      </c>
      <c r="AC39" s="558"/>
      <c r="AD39" s="558"/>
      <c r="AE39" s="558"/>
      <c r="AF39" s="558"/>
      <c r="AG39" s="558">
        <v>0</v>
      </c>
      <c r="AH39" s="558"/>
      <c r="AI39" s="558"/>
      <c r="AJ39" s="558"/>
      <c r="AK39" s="558"/>
    </row>
    <row r="40" spans="1:37" ht="12.75" customHeight="1">
      <c r="A40" s="559" t="s">
        <v>882</v>
      </c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60">
        <v>30</v>
      </c>
      <c r="AA40" s="560"/>
      <c r="AB40" s="560">
        <v>6966</v>
      </c>
      <c r="AC40" s="560"/>
      <c r="AD40" s="560"/>
      <c r="AE40" s="560"/>
      <c r="AF40" s="560"/>
      <c r="AG40" s="560">
        <f>SUM(AG34:AK39)</f>
        <v>8276</v>
      </c>
      <c r="AH40" s="560"/>
      <c r="AI40" s="560"/>
      <c r="AJ40" s="560"/>
      <c r="AK40" s="560"/>
    </row>
    <row r="41" spans="1:37" ht="12.75" customHeight="1">
      <c r="A41" s="557" t="s">
        <v>543</v>
      </c>
      <c r="B41" s="557"/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8">
        <v>31</v>
      </c>
      <c r="AA41" s="558"/>
      <c r="AB41" s="558">
        <v>138315</v>
      </c>
      <c r="AC41" s="558"/>
      <c r="AD41" s="558"/>
      <c r="AE41" s="558"/>
      <c r="AF41" s="558"/>
      <c r="AG41" s="558">
        <v>132170</v>
      </c>
      <c r="AH41" s="558"/>
      <c r="AI41" s="558"/>
      <c r="AJ41" s="558"/>
      <c r="AK41" s="558"/>
    </row>
    <row r="42" spans="1:37" ht="12.75" customHeight="1">
      <c r="A42" s="557" t="s">
        <v>544</v>
      </c>
      <c r="B42" s="557"/>
      <c r="C42" s="557"/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8">
        <v>32</v>
      </c>
      <c r="AA42" s="558"/>
      <c r="AB42" s="558">
        <v>0</v>
      </c>
      <c r="AC42" s="558"/>
      <c r="AD42" s="558"/>
      <c r="AE42" s="558"/>
      <c r="AF42" s="558"/>
      <c r="AG42" s="558">
        <v>0</v>
      </c>
      <c r="AH42" s="558"/>
      <c r="AI42" s="558"/>
      <c r="AJ42" s="558"/>
      <c r="AK42" s="558"/>
    </row>
    <row r="43" spans="1:37" ht="12.75" customHeight="1">
      <c r="A43" s="557" t="s">
        <v>545</v>
      </c>
      <c r="B43" s="557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7"/>
      <c r="S43" s="557"/>
      <c r="T43" s="557"/>
      <c r="U43" s="557"/>
      <c r="V43" s="557"/>
      <c r="W43" s="557"/>
      <c r="X43" s="557"/>
      <c r="Y43" s="557"/>
      <c r="Z43" s="558">
        <v>33</v>
      </c>
      <c r="AA43" s="558"/>
      <c r="AB43" s="558">
        <v>0</v>
      </c>
      <c r="AC43" s="558"/>
      <c r="AD43" s="558"/>
      <c r="AE43" s="558"/>
      <c r="AF43" s="558"/>
      <c r="AG43" s="558">
        <v>0</v>
      </c>
      <c r="AH43" s="558"/>
      <c r="AI43" s="558"/>
      <c r="AJ43" s="558"/>
      <c r="AK43" s="558"/>
    </row>
    <row r="44" spans="1:37" ht="12.75" customHeight="1">
      <c r="A44" s="557" t="s">
        <v>546</v>
      </c>
      <c r="B44" s="557"/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57"/>
      <c r="P44" s="557"/>
      <c r="Q44" s="557"/>
      <c r="R44" s="557"/>
      <c r="S44" s="557"/>
      <c r="T44" s="557"/>
      <c r="U44" s="557"/>
      <c r="V44" s="557"/>
      <c r="W44" s="557"/>
      <c r="X44" s="557"/>
      <c r="Y44" s="557"/>
      <c r="Z44" s="558">
        <v>34</v>
      </c>
      <c r="AA44" s="558"/>
      <c r="AB44" s="558">
        <v>0</v>
      </c>
      <c r="AC44" s="558"/>
      <c r="AD44" s="558"/>
      <c r="AE44" s="558"/>
      <c r="AF44" s="558"/>
      <c r="AG44" s="558">
        <v>0</v>
      </c>
      <c r="AH44" s="558"/>
      <c r="AI44" s="558"/>
      <c r="AJ44" s="558"/>
      <c r="AK44" s="558"/>
    </row>
    <row r="45" spans="1:37" ht="12.75" customHeight="1">
      <c r="A45" s="557" t="s">
        <v>547</v>
      </c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  <c r="S45" s="557"/>
      <c r="T45" s="557"/>
      <c r="U45" s="557"/>
      <c r="V45" s="557"/>
      <c r="W45" s="557"/>
      <c r="X45" s="557"/>
      <c r="Y45" s="557"/>
      <c r="Z45" s="558">
        <v>35</v>
      </c>
      <c r="AA45" s="558"/>
      <c r="AB45" s="558">
        <v>0</v>
      </c>
      <c r="AC45" s="558"/>
      <c r="AD45" s="558"/>
      <c r="AE45" s="558"/>
      <c r="AF45" s="558"/>
      <c r="AG45" s="558">
        <v>0</v>
      </c>
      <c r="AH45" s="558"/>
      <c r="AI45" s="558"/>
      <c r="AJ45" s="558"/>
      <c r="AK45" s="558"/>
    </row>
    <row r="46" spans="1:37" ht="12.75" customHeight="1">
      <c r="A46" s="559" t="s">
        <v>883</v>
      </c>
      <c r="B46" s="559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60">
        <v>36</v>
      </c>
      <c r="AA46" s="560"/>
      <c r="AB46" s="560">
        <v>138315</v>
      </c>
      <c r="AC46" s="560"/>
      <c r="AD46" s="560"/>
      <c r="AE46" s="560"/>
      <c r="AF46" s="560"/>
      <c r="AG46" s="560">
        <f>SUM(AG41:AK45)</f>
        <v>132170</v>
      </c>
      <c r="AH46" s="560"/>
      <c r="AI46" s="560"/>
      <c r="AJ46" s="560"/>
      <c r="AK46" s="560"/>
    </row>
    <row r="47" spans="1:37" ht="12.75" customHeight="1">
      <c r="A47" s="559" t="s">
        <v>884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60">
        <v>37</v>
      </c>
      <c r="AA47" s="560"/>
      <c r="AB47" s="560">
        <v>1877273</v>
      </c>
      <c r="AC47" s="560"/>
      <c r="AD47" s="560"/>
      <c r="AE47" s="560"/>
      <c r="AF47" s="560"/>
      <c r="AG47" s="560">
        <f>AG18+AG33+AG40+AG46</f>
        <v>1865262</v>
      </c>
      <c r="AH47" s="560"/>
      <c r="AI47" s="560"/>
      <c r="AJ47" s="560"/>
      <c r="AK47" s="560"/>
    </row>
    <row r="48" spans="1:37" ht="12.75" customHeight="1">
      <c r="A48" s="557" t="s">
        <v>550</v>
      </c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558">
        <v>38</v>
      </c>
      <c r="AA48" s="558"/>
      <c r="AB48" s="558">
        <v>498</v>
      </c>
      <c r="AC48" s="558"/>
      <c r="AD48" s="558"/>
      <c r="AE48" s="558"/>
      <c r="AF48" s="558"/>
      <c r="AG48" s="558">
        <v>412</v>
      </c>
      <c r="AH48" s="558"/>
      <c r="AI48" s="558"/>
      <c r="AJ48" s="558"/>
      <c r="AK48" s="558"/>
    </row>
    <row r="49" spans="1:37" ht="12.75" customHeight="1">
      <c r="A49" s="557" t="s">
        <v>551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8">
        <v>39</v>
      </c>
      <c r="AA49" s="558"/>
      <c r="AB49" s="558">
        <v>0</v>
      </c>
      <c r="AC49" s="558"/>
      <c r="AD49" s="558"/>
      <c r="AE49" s="558"/>
      <c r="AF49" s="558"/>
      <c r="AG49" s="558">
        <v>0</v>
      </c>
      <c r="AH49" s="558"/>
      <c r="AI49" s="558"/>
      <c r="AJ49" s="558"/>
      <c r="AK49" s="558"/>
    </row>
    <row r="50" spans="1:37" ht="12.75" customHeight="1">
      <c r="A50" s="557" t="s">
        <v>552</v>
      </c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7"/>
      <c r="U50" s="557"/>
      <c r="V50" s="557"/>
      <c r="W50" s="557"/>
      <c r="X50" s="557"/>
      <c r="Y50" s="557"/>
      <c r="Z50" s="558">
        <v>40</v>
      </c>
      <c r="AA50" s="558"/>
      <c r="AB50" s="558">
        <v>0</v>
      </c>
      <c r="AC50" s="558"/>
      <c r="AD50" s="558"/>
      <c r="AE50" s="558"/>
      <c r="AF50" s="558"/>
      <c r="AG50" s="558">
        <v>0</v>
      </c>
      <c r="AH50" s="558"/>
      <c r="AI50" s="558"/>
      <c r="AJ50" s="558"/>
      <c r="AK50" s="558"/>
    </row>
    <row r="51" spans="1:37" ht="12.75" customHeight="1">
      <c r="A51" s="557" t="s">
        <v>553</v>
      </c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7"/>
      <c r="Y51" s="557"/>
      <c r="Z51" s="558">
        <v>41</v>
      </c>
      <c r="AA51" s="558"/>
      <c r="AB51" s="558">
        <v>0</v>
      </c>
      <c r="AC51" s="558"/>
      <c r="AD51" s="558"/>
      <c r="AE51" s="558"/>
      <c r="AF51" s="558"/>
      <c r="AG51" s="558">
        <v>0</v>
      </c>
      <c r="AH51" s="558"/>
      <c r="AI51" s="558"/>
      <c r="AJ51" s="558"/>
      <c r="AK51" s="558"/>
    </row>
    <row r="52" spans="1:37" ht="12.75" customHeight="1">
      <c r="A52" s="557" t="s">
        <v>554</v>
      </c>
      <c r="B52" s="557"/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557"/>
      <c r="Y52" s="557"/>
      <c r="Z52" s="558">
        <v>42</v>
      </c>
      <c r="AA52" s="558"/>
      <c r="AB52" s="558">
        <v>0</v>
      </c>
      <c r="AC52" s="558"/>
      <c r="AD52" s="558"/>
      <c r="AE52" s="558"/>
      <c r="AF52" s="558"/>
      <c r="AG52" s="558">
        <v>0</v>
      </c>
      <c r="AH52" s="558"/>
      <c r="AI52" s="558"/>
      <c r="AJ52" s="558"/>
      <c r="AK52" s="558"/>
    </row>
    <row r="53" spans="1:37" ht="12.75" customHeight="1">
      <c r="A53" s="557" t="s">
        <v>555</v>
      </c>
      <c r="B53" s="557"/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557"/>
      <c r="P53" s="557"/>
      <c r="Q53" s="557"/>
      <c r="R53" s="557"/>
      <c r="S53" s="557"/>
      <c r="T53" s="557"/>
      <c r="U53" s="557"/>
      <c r="V53" s="557"/>
      <c r="W53" s="557"/>
      <c r="X53" s="557"/>
      <c r="Y53" s="557"/>
      <c r="Z53" s="558">
        <v>43</v>
      </c>
      <c r="AA53" s="558"/>
      <c r="AB53" s="558">
        <v>0</v>
      </c>
      <c r="AC53" s="558"/>
      <c r="AD53" s="558"/>
      <c r="AE53" s="558"/>
      <c r="AF53" s="558"/>
      <c r="AG53" s="558"/>
      <c r="AH53" s="558"/>
      <c r="AI53" s="558"/>
      <c r="AJ53" s="558"/>
      <c r="AK53" s="558"/>
    </row>
    <row r="54" spans="1:37" ht="12.75" customHeight="1">
      <c r="A54" s="559" t="s">
        <v>885</v>
      </c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60">
        <v>44</v>
      </c>
      <c r="AA54" s="560"/>
      <c r="AB54" s="560">
        <v>498</v>
      </c>
      <c r="AC54" s="560"/>
      <c r="AD54" s="560"/>
      <c r="AE54" s="560"/>
      <c r="AF54" s="560"/>
      <c r="AG54" s="560">
        <f>SUM(AG48:AK53)</f>
        <v>412</v>
      </c>
      <c r="AH54" s="560"/>
      <c r="AI54" s="560"/>
      <c r="AJ54" s="560"/>
      <c r="AK54" s="560"/>
    </row>
    <row r="55" spans="1:37" ht="12.75" customHeight="1">
      <c r="A55" s="557" t="s">
        <v>557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8">
        <v>45</v>
      </c>
      <c r="AA55" s="558"/>
      <c r="AB55" s="558">
        <v>112</v>
      </c>
      <c r="AC55" s="558"/>
      <c r="AD55" s="558"/>
      <c r="AE55" s="558"/>
      <c r="AF55" s="558"/>
      <c r="AG55" s="558">
        <v>101</v>
      </c>
      <c r="AH55" s="558"/>
      <c r="AI55" s="558"/>
      <c r="AJ55" s="558"/>
      <c r="AK55" s="558"/>
    </row>
    <row r="56" spans="1:37" ht="12.75" customHeight="1">
      <c r="A56" s="557" t="s">
        <v>558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557"/>
      <c r="W56" s="557"/>
      <c r="X56" s="557"/>
      <c r="Y56" s="557"/>
      <c r="Z56" s="558">
        <v>46</v>
      </c>
      <c r="AA56" s="558"/>
      <c r="AB56" s="558">
        <v>21002</v>
      </c>
      <c r="AC56" s="558"/>
      <c r="AD56" s="558"/>
      <c r="AE56" s="558"/>
      <c r="AF56" s="558"/>
      <c r="AG56" s="558">
        <v>20238</v>
      </c>
      <c r="AH56" s="558"/>
      <c r="AI56" s="558"/>
      <c r="AJ56" s="558"/>
      <c r="AK56" s="558"/>
    </row>
    <row r="57" spans="1:37" ht="12.75" customHeight="1">
      <c r="A57" s="557" t="s">
        <v>559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8">
        <v>47</v>
      </c>
      <c r="AA57" s="558"/>
      <c r="AB57" s="558">
        <v>0</v>
      </c>
      <c r="AC57" s="558"/>
      <c r="AD57" s="558"/>
      <c r="AE57" s="558"/>
      <c r="AF57" s="558"/>
      <c r="AG57" s="558">
        <v>0</v>
      </c>
      <c r="AH57" s="558"/>
      <c r="AI57" s="558"/>
      <c r="AJ57" s="558"/>
      <c r="AK57" s="558"/>
    </row>
    <row r="58" spans="1:37" ht="12.75" customHeight="1">
      <c r="A58" s="557" t="s">
        <v>560</v>
      </c>
      <c r="B58" s="557"/>
      <c r="C58" s="557"/>
      <c r="D58" s="557"/>
      <c r="E58" s="557"/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7"/>
      <c r="T58" s="557"/>
      <c r="U58" s="557"/>
      <c r="V58" s="557"/>
      <c r="W58" s="557"/>
      <c r="X58" s="557"/>
      <c r="Y58" s="557"/>
      <c r="Z58" s="558">
        <v>48</v>
      </c>
      <c r="AA58" s="558"/>
      <c r="AB58" s="558">
        <v>33</v>
      </c>
      <c r="AC58" s="558"/>
      <c r="AD58" s="558"/>
      <c r="AE58" s="558"/>
      <c r="AF58" s="558"/>
      <c r="AG58" s="558">
        <v>33</v>
      </c>
      <c r="AH58" s="558"/>
      <c r="AI58" s="558"/>
      <c r="AJ58" s="558"/>
      <c r="AK58" s="558"/>
    </row>
    <row r="59" spans="1:37" ht="12.75" customHeight="1">
      <c r="A59" s="557" t="s">
        <v>561</v>
      </c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8">
        <v>49</v>
      </c>
      <c r="AA59" s="558"/>
      <c r="AB59" s="558">
        <v>0</v>
      </c>
      <c r="AC59" s="558"/>
      <c r="AD59" s="558"/>
      <c r="AE59" s="558"/>
      <c r="AF59" s="558"/>
      <c r="AG59" s="558">
        <v>0</v>
      </c>
      <c r="AH59" s="558"/>
      <c r="AI59" s="558"/>
      <c r="AJ59" s="558"/>
      <c r="AK59" s="558"/>
    </row>
    <row r="60" spans="1:37" ht="12.75" customHeight="1">
      <c r="A60" s="557" t="s">
        <v>562</v>
      </c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557"/>
      <c r="X60" s="557"/>
      <c r="Y60" s="557"/>
      <c r="Z60" s="558">
        <v>50</v>
      </c>
      <c r="AA60" s="558"/>
      <c r="AB60" s="558">
        <v>0</v>
      </c>
      <c r="AC60" s="558"/>
      <c r="AD60" s="558"/>
      <c r="AE60" s="558"/>
      <c r="AF60" s="558"/>
      <c r="AG60" s="558">
        <v>0</v>
      </c>
      <c r="AH60" s="558"/>
      <c r="AI60" s="558"/>
      <c r="AJ60" s="558"/>
      <c r="AK60" s="558"/>
    </row>
    <row r="61" spans="1:37" ht="12.75" customHeight="1">
      <c r="A61" s="557" t="s">
        <v>563</v>
      </c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8">
        <v>51</v>
      </c>
      <c r="AA61" s="558"/>
      <c r="AB61" s="558">
        <v>0</v>
      </c>
      <c r="AC61" s="558"/>
      <c r="AD61" s="558"/>
      <c r="AE61" s="558"/>
      <c r="AF61" s="558"/>
      <c r="AG61" s="558">
        <v>0</v>
      </c>
      <c r="AH61" s="558"/>
      <c r="AI61" s="558"/>
      <c r="AJ61" s="558"/>
      <c r="AK61" s="558"/>
    </row>
    <row r="62" spans="1:37" ht="12.75" customHeight="1">
      <c r="A62" s="557" t="s">
        <v>564</v>
      </c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57"/>
      <c r="T62" s="557"/>
      <c r="U62" s="557"/>
      <c r="V62" s="557"/>
      <c r="W62" s="557"/>
      <c r="X62" s="557"/>
      <c r="Y62" s="557"/>
      <c r="Z62" s="558">
        <v>52</v>
      </c>
      <c r="AA62" s="558"/>
      <c r="AB62" s="558">
        <v>0</v>
      </c>
      <c r="AC62" s="558"/>
      <c r="AD62" s="558"/>
      <c r="AE62" s="558"/>
      <c r="AF62" s="558"/>
      <c r="AG62" s="558">
        <v>0</v>
      </c>
      <c r="AH62" s="558"/>
      <c r="AI62" s="558"/>
      <c r="AJ62" s="558"/>
      <c r="AK62" s="558"/>
    </row>
    <row r="63" spans="1:37" ht="12.75" customHeight="1">
      <c r="A63" s="557" t="s">
        <v>565</v>
      </c>
      <c r="B63" s="557"/>
      <c r="C63" s="557"/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N63" s="557"/>
      <c r="O63" s="557"/>
      <c r="P63" s="557"/>
      <c r="Q63" s="557"/>
      <c r="R63" s="557"/>
      <c r="S63" s="557"/>
      <c r="T63" s="557"/>
      <c r="U63" s="557"/>
      <c r="V63" s="557"/>
      <c r="W63" s="557"/>
      <c r="X63" s="557"/>
      <c r="Y63" s="557"/>
      <c r="Z63" s="558">
        <v>53</v>
      </c>
      <c r="AA63" s="558"/>
      <c r="AB63" s="558">
        <v>0</v>
      </c>
      <c r="AC63" s="558"/>
      <c r="AD63" s="558"/>
      <c r="AE63" s="558"/>
      <c r="AF63" s="558"/>
      <c r="AG63" s="558">
        <v>0</v>
      </c>
      <c r="AH63" s="558"/>
      <c r="AI63" s="558"/>
      <c r="AJ63" s="558"/>
      <c r="AK63" s="558"/>
    </row>
    <row r="64" spans="1:37" ht="12.75" customHeight="1">
      <c r="A64" s="557" t="s">
        <v>566</v>
      </c>
      <c r="B64" s="557"/>
      <c r="C64" s="557"/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57"/>
      <c r="W64" s="557"/>
      <c r="X64" s="557"/>
      <c r="Y64" s="557"/>
      <c r="Z64" s="558">
        <v>54</v>
      </c>
      <c r="AA64" s="558"/>
      <c r="AB64" s="558">
        <v>0</v>
      </c>
      <c r="AC64" s="558"/>
      <c r="AD64" s="558"/>
      <c r="AE64" s="558"/>
      <c r="AF64" s="558"/>
      <c r="AG64" s="558">
        <v>0</v>
      </c>
      <c r="AH64" s="558"/>
      <c r="AI64" s="558"/>
      <c r="AJ64" s="558"/>
      <c r="AK64" s="558"/>
    </row>
    <row r="65" spans="1:37" ht="12.75" customHeight="1">
      <c r="A65" s="559" t="s">
        <v>886</v>
      </c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60">
        <v>55</v>
      </c>
      <c r="AA65" s="560"/>
      <c r="AB65" s="560">
        <v>21147</v>
      </c>
      <c r="AC65" s="560"/>
      <c r="AD65" s="560"/>
      <c r="AE65" s="560"/>
      <c r="AF65" s="560"/>
      <c r="AG65" s="560">
        <f>SUM(AG55:AK64)</f>
        <v>20372</v>
      </c>
      <c r="AH65" s="560"/>
      <c r="AI65" s="560"/>
      <c r="AJ65" s="560"/>
      <c r="AK65" s="560"/>
    </row>
    <row r="66" spans="1:37" ht="12.75" customHeight="1">
      <c r="A66" s="557" t="s">
        <v>887</v>
      </c>
      <c r="B66" s="557"/>
      <c r="C66" s="557"/>
      <c r="D66" s="557"/>
      <c r="E66" s="557"/>
      <c r="F66" s="557"/>
      <c r="G66" s="557"/>
      <c r="H66" s="557"/>
      <c r="I66" s="557"/>
      <c r="J66" s="557"/>
      <c r="K66" s="557"/>
      <c r="L66" s="557"/>
      <c r="M66" s="557"/>
      <c r="N66" s="557"/>
      <c r="O66" s="557"/>
      <c r="P66" s="557"/>
      <c r="Q66" s="557"/>
      <c r="R66" s="557"/>
      <c r="S66" s="557"/>
      <c r="T66" s="557"/>
      <c r="U66" s="557"/>
      <c r="V66" s="557"/>
      <c r="W66" s="557"/>
      <c r="X66" s="557"/>
      <c r="Y66" s="557"/>
      <c r="Z66" s="558">
        <v>56</v>
      </c>
      <c r="AA66" s="558"/>
      <c r="AB66" s="558">
        <v>0</v>
      </c>
      <c r="AC66" s="558"/>
      <c r="AD66" s="558"/>
      <c r="AE66" s="558"/>
      <c r="AF66" s="558"/>
      <c r="AG66" s="558">
        <v>0</v>
      </c>
      <c r="AH66" s="558"/>
      <c r="AI66" s="558"/>
      <c r="AJ66" s="558"/>
      <c r="AK66" s="558"/>
    </row>
    <row r="67" spans="1:37" ht="12.75" customHeight="1">
      <c r="A67" s="557" t="s">
        <v>570</v>
      </c>
      <c r="B67" s="557"/>
      <c r="C67" s="557"/>
      <c r="D67" s="557"/>
      <c r="E67" s="557"/>
      <c r="F67" s="557"/>
      <c r="G67" s="557"/>
      <c r="H67" s="557"/>
      <c r="I67" s="557"/>
      <c r="J67" s="557"/>
      <c r="K67" s="557"/>
      <c r="L67" s="557"/>
      <c r="M67" s="557"/>
      <c r="N67" s="557"/>
      <c r="O67" s="557"/>
      <c r="P67" s="557"/>
      <c r="Q67" s="557"/>
      <c r="R67" s="557"/>
      <c r="S67" s="557"/>
      <c r="T67" s="557"/>
      <c r="U67" s="557"/>
      <c r="V67" s="557"/>
      <c r="W67" s="557"/>
      <c r="X67" s="557"/>
      <c r="Y67" s="557"/>
      <c r="Z67" s="558">
        <v>57</v>
      </c>
      <c r="AA67" s="558"/>
      <c r="AB67" s="558">
        <v>0</v>
      </c>
      <c r="AC67" s="558"/>
      <c r="AD67" s="558"/>
      <c r="AE67" s="558"/>
      <c r="AF67" s="558"/>
      <c r="AG67" s="558">
        <v>0</v>
      </c>
      <c r="AH67" s="558"/>
      <c r="AI67" s="558"/>
      <c r="AJ67" s="558"/>
      <c r="AK67" s="558"/>
    </row>
    <row r="68" spans="1:37" ht="12.75" customHeight="1">
      <c r="A68" s="559" t="s">
        <v>888</v>
      </c>
      <c r="B68" s="559"/>
      <c r="C68" s="559"/>
      <c r="D68" s="559"/>
      <c r="E68" s="559"/>
      <c r="F68" s="559"/>
      <c r="G68" s="559"/>
      <c r="H68" s="559"/>
      <c r="I68" s="559"/>
      <c r="J68" s="559"/>
      <c r="K68" s="559"/>
      <c r="L68" s="559"/>
      <c r="M68" s="559"/>
      <c r="N68" s="559"/>
      <c r="O68" s="559"/>
      <c r="P68" s="559"/>
      <c r="Q68" s="559"/>
      <c r="R68" s="559"/>
      <c r="S68" s="559"/>
      <c r="T68" s="559"/>
      <c r="U68" s="559"/>
      <c r="V68" s="559"/>
      <c r="W68" s="559"/>
      <c r="X68" s="559"/>
      <c r="Y68" s="559"/>
      <c r="Z68" s="560">
        <v>58</v>
      </c>
      <c r="AA68" s="560"/>
      <c r="AB68" s="560">
        <v>0</v>
      </c>
      <c r="AC68" s="560"/>
      <c r="AD68" s="560"/>
      <c r="AE68" s="560"/>
      <c r="AF68" s="560"/>
      <c r="AG68" s="560">
        <v>0</v>
      </c>
      <c r="AH68" s="560"/>
      <c r="AI68" s="560"/>
      <c r="AJ68" s="560"/>
      <c r="AK68" s="560"/>
    </row>
    <row r="69" spans="1:37" ht="12.75" customHeight="1">
      <c r="A69" s="557" t="s">
        <v>573</v>
      </c>
      <c r="B69" s="557"/>
      <c r="C69" s="557"/>
      <c r="D69" s="557"/>
      <c r="E69" s="557"/>
      <c r="F69" s="557"/>
      <c r="G69" s="557"/>
      <c r="H69" s="557"/>
      <c r="I69" s="557"/>
      <c r="J69" s="557"/>
      <c r="K69" s="557"/>
      <c r="L69" s="557"/>
      <c r="M69" s="557"/>
      <c r="N69" s="557"/>
      <c r="O69" s="557"/>
      <c r="P69" s="557"/>
      <c r="Q69" s="557"/>
      <c r="R69" s="557"/>
      <c r="S69" s="557"/>
      <c r="T69" s="557"/>
      <c r="U69" s="557"/>
      <c r="V69" s="557"/>
      <c r="W69" s="557"/>
      <c r="X69" s="557"/>
      <c r="Y69" s="557"/>
      <c r="Z69" s="558">
        <v>59</v>
      </c>
      <c r="AA69" s="558"/>
      <c r="AB69" s="558">
        <v>688</v>
      </c>
      <c r="AC69" s="558"/>
      <c r="AD69" s="558"/>
      <c r="AE69" s="558"/>
      <c r="AF69" s="558"/>
      <c r="AG69" s="558">
        <v>155</v>
      </c>
      <c r="AH69" s="558"/>
      <c r="AI69" s="558"/>
      <c r="AJ69" s="558"/>
      <c r="AK69" s="558"/>
    </row>
    <row r="70" spans="1:37" ht="12.75" customHeight="1">
      <c r="A70" s="557" t="s">
        <v>574</v>
      </c>
      <c r="B70" s="557"/>
      <c r="C70" s="557"/>
      <c r="D70" s="557"/>
      <c r="E70" s="557"/>
      <c r="F70" s="557"/>
      <c r="G70" s="557"/>
      <c r="H70" s="557"/>
      <c r="I70" s="557"/>
      <c r="J70" s="557"/>
      <c r="K70" s="557"/>
      <c r="L70" s="557"/>
      <c r="M70" s="557"/>
      <c r="N70" s="557"/>
      <c r="O70" s="557"/>
      <c r="P70" s="557"/>
      <c r="Q70" s="557"/>
      <c r="R70" s="557"/>
      <c r="S70" s="557"/>
      <c r="T70" s="557"/>
      <c r="U70" s="557"/>
      <c r="V70" s="557"/>
      <c r="W70" s="557"/>
      <c r="X70" s="557"/>
      <c r="Y70" s="557"/>
      <c r="Z70" s="558">
        <v>60</v>
      </c>
      <c r="AA70" s="558"/>
      <c r="AB70" s="558">
        <v>286625</v>
      </c>
      <c r="AC70" s="558"/>
      <c r="AD70" s="558"/>
      <c r="AE70" s="558"/>
      <c r="AF70" s="558"/>
      <c r="AG70" s="558">
        <v>284340</v>
      </c>
      <c r="AH70" s="558"/>
      <c r="AI70" s="558"/>
      <c r="AJ70" s="558"/>
      <c r="AK70" s="558"/>
    </row>
    <row r="71" spans="1:37" ht="12.75" customHeight="1">
      <c r="A71" s="557" t="s">
        <v>575</v>
      </c>
      <c r="B71" s="557"/>
      <c r="C71" s="557"/>
      <c r="D71" s="557"/>
      <c r="E71" s="557"/>
      <c r="F71" s="557"/>
      <c r="G71" s="557"/>
      <c r="H71" s="557"/>
      <c r="I71" s="557"/>
      <c r="J71" s="557"/>
      <c r="K71" s="557"/>
      <c r="L71" s="557"/>
      <c r="M71" s="557"/>
      <c r="N71" s="557"/>
      <c r="O71" s="557"/>
      <c r="P71" s="557"/>
      <c r="Q71" s="557"/>
      <c r="R71" s="557"/>
      <c r="S71" s="557"/>
      <c r="T71" s="557"/>
      <c r="U71" s="557"/>
      <c r="V71" s="557"/>
      <c r="W71" s="557"/>
      <c r="X71" s="557"/>
      <c r="Y71" s="557"/>
      <c r="Z71" s="558">
        <v>61</v>
      </c>
      <c r="AA71" s="558"/>
      <c r="AB71" s="558">
        <v>0</v>
      </c>
      <c r="AC71" s="558"/>
      <c r="AD71" s="558"/>
      <c r="AE71" s="558"/>
      <c r="AF71" s="558"/>
      <c r="AG71" s="558">
        <v>0</v>
      </c>
      <c r="AH71" s="558"/>
      <c r="AI71" s="558"/>
      <c r="AJ71" s="558"/>
      <c r="AK71" s="558"/>
    </row>
    <row r="72" spans="1:37" ht="12.75" customHeight="1">
      <c r="A72" s="557" t="s">
        <v>576</v>
      </c>
      <c r="B72" s="557"/>
      <c r="C72" s="557"/>
      <c r="D72" s="557"/>
      <c r="E72" s="557"/>
      <c r="F72" s="557"/>
      <c r="G72" s="557"/>
      <c r="H72" s="557"/>
      <c r="I72" s="557"/>
      <c r="J72" s="557"/>
      <c r="K72" s="557"/>
      <c r="L72" s="557"/>
      <c r="M72" s="557"/>
      <c r="N72" s="557"/>
      <c r="O72" s="557"/>
      <c r="P72" s="557"/>
      <c r="Q72" s="557"/>
      <c r="R72" s="557"/>
      <c r="S72" s="557"/>
      <c r="T72" s="557"/>
      <c r="U72" s="557"/>
      <c r="V72" s="557"/>
      <c r="W72" s="557"/>
      <c r="X72" s="557"/>
      <c r="Y72" s="557"/>
      <c r="Z72" s="558">
        <v>62</v>
      </c>
      <c r="AA72" s="558"/>
      <c r="AB72" s="558">
        <v>69</v>
      </c>
      <c r="AC72" s="558"/>
      <c r="AD72" s="558"/>
      <c r="AE72" s="558"/>
      <c r="AF72" s="558"/>
      <c r="AG72" s="558">
        <v>119</v>
      </c>
      <c r="AH72" s="558"/>
      <c r="AI72" s="558"/>
      <c r="AJ72" s="558"/>
      <c r="AK72" s="558"/>
    </row>
    <row r="73" spans="1:37" ht="12.75" customHeight="1">
      <c r="A73" s="559" t="s">
        <v>889</v>
      </c>
      <c r="B73" s="559"/>
      <c r="C73" s="559"/>
      <c r="D73" s="559"/>
      <c r="E73" s="559"/>
      <c r="F73" s="559"/>
      <c r="G73" s="559"/>
      <c r="H73" s="559"/>
      <c r="I73" s="559"/>
      <c r="J73" s="559"/>
      <c r="K73" s="559"/>
      <c r="L73" s="559"/>
      <c r="M73" s="559"/>
      <c r="N73" s="559"/>
      <c r="O73" s="559"/>
      <c r="P73" s="559"/>
      <c r="Q73" s="559"/>
      <c r="R73" s="559"/>
      <c r="S73" s="559"/>
      <c r="T73" s="559"/>
      <c r="U73" s="559"/>
      <c r="V73" s="559"/>
      <c r="W73" s="559"/>
      <c r="X73" s="559"/>
      <c r="Y73" s="559"/>
      <c r="Z73" s="560">
        <v>63</v>
      </c>
      <c r="AA73" s="560"/>
      <c r="AB73" s="560">
        <v>287382</v>
      </c>
      <c r="AC73" s="560"/>
      <c r="AD73" s="560"/>
      <c r="AE73" s="560"/>
      <c r="AF73" s="560"/>
      <c r="AG73" s="560">
        <f>SUM(AG69:AK72)</f>
        <v>284614</v>
      </c>
      <c r="AH73" s="560"/>
      <c r="AI73" s="560"/>
      <c r="AJ73" s="560"/>
      <c r="AK73" s="560"/>
    </row>
    <row r="74" spans="1:37" ht="12.75" customHeight="1">
      <c r="A74" s="557" t="s">
        <v>578</v>
      </c>
      <c r="B74" s="557"/>
      <c r="C74" s="557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57"/>
      <c r="W74" s="557"/>
      <c r="X74" s="557"/>
      <c r="Y74" s="557"/>
      <c r="Z74" s="558">
        <v>64</v>
      </c>
      <c r="AA74" s="558"/>
      <c r="AB74" s="558">
        <v>41758</v>
      </c>
      <c r="AC74" s="558"/>
      <c r="AD74" s="558"/>
      <c r="AE74" s="558"/>
      <c r="AF74" s="558"/>
      <c r="AG74" s="558">
        <v>5670</v>
      </c>
      <c r="AH74" s="558"/>
      <c r="AI74" s="558"/>
      <c r="AJ74" s="558"/>
      <c r="AK74" s="558"/>
    </row>
    <row r="75" spans="1:37" ht="12.75" customHeight="1">
      <c r="A75" s="557" t="s">
        <v>579</v>
      </c>
      <c r="B75" s="557"/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7"/>
      <c r="T75" s="557"/>
      <c r="U75" s="557"/>
      <c r="V75" s="557"/>
      <c r="W75" s="557"/>
      <c r="X75" s="557"/>
      <c r="Y75" s="557"/>
      <c r="Z75" s="558">
        <v>65</v>
      </c>
      <c r="AA75" s="558"/>
      <c r="AB75" s="558">
        <v>0</v>
      </c>
      <c r="AC75" s="558"/>
      <c r="AD75" s="558"/>
      <c r="AE75" s="558"/>
      <c r="AF75" s="558"/>
      <c r="AG75" s="558">
        <v>344</v>
      </c>
      <c r="AH75" s="558"/>
      <c r="AI75" s="558"/>
      <c r="AJ75" s="558"/>
      <c r="AK75" s="558"/>
    </row>
    <row r="76" spans="1:37" ht="12.75" customHeight="1">
      <c r="A76" s="557" t="s">
        <v>580</v>
      </c>
      <c r="B76" s="557"/>
      <c r="C76" s="557"/>
      <c r="D76" s="557"/>
      <c r="E76" s="557"/>
      <c r="F76" s="557"/>
      <c r="G76" s="557"/>
      <c r="H76" s="557"/>
      <c r="I76" s="557"/>
      <c r="J76" s="557"/>
      <c r="K76" s="557"/>
      <c r="L76" s="557"/>
      <c r="M76" s="557"/>
      <c r="N76" s="557"/>
      <c r="O76" s="557"/>
      <c r="P76" s="557"/>
      <c r="Q76" s="557"/>
      <c r="R76" s="557"/>
      <c r="S76" s="557"/>
      <c r="T76" s="557"/>
      <c r="U76" s="557"/>
      <c r="V76" s="557"/>
      <c r="W76" s="557"/>
      <c r="X76" s="557"/>
      <c r="Y76" s="557"/>
      <c r="Z76" s="558">
        <v>66</v>
      </c>
      <c r="AA76" s="558"/>
      <c r="AB76" s="558">
        <v>0</v>
      </c>
      <c r="AC76" s="558"/>
      <c r="AD76" s="558"/>
      <c r="AE76" s="558"/>
      <c r="AF76" s="558"/>
      <c r="AG76" s="558">
        <v>0</v>
      </c>
      <c r="AH76" s="558"/>
      <c r="AI76" s="558"/>
      <c r="AJ76" s="558"/>
      <c r="AK76" s="558"/>
    </row>
    <row r="77" spans="1:37" ht="12.75" customHeight="1">
      <c r="A77" s="557" t="s">
        <v>581</v>
      </c>
      <c r="B77" s="557"/>
      <c r="C77" s="557"/>
      <c r="D77" s="557"/>
      <c r="E77" s="557"/>
      <c r="F77" s="557"/>
      <c r="G77" s="557"/>
      <c r="H77" s="557"/>
      <c r="I77" s="557"/>
      <c r="J77" s="557"/>
      <c r="K77" s="557"/>
      <c r="L77" s="557"/>
      <c r="M77" s="557"/>
      <c r="N77" s="557"/>
      <c r="O77" s="557"/>
      <c r="P77" s="557"/>
      <c r="Q77" s="557"/>
      <c r="R77" s="557"/>
      <c r="S77" s="557"/>
      <c r="T77" s="557"/>
      <c r="U77" s="557"/>
      <c r="V77" s="557"/>
      <c r="W77" s="557"/>
      <c r="X77" s="557"/>
      <c r="Y77" s="557"/>
      <c r="Z77" s="558">
        <v>67</v>
      </c>
      <c r="AA77" s="558"/>
      <c r="AB77" s="558">
        <v>0</v>
      </c>
      <c r="AC77" s="558"/>
      <c r="AD77" s="558"/>
      <c r="AE77" s="558"/>
      <c r="AF77" s="558"/>
      <c r="AG77" s="558">
        <v>0</v>
      </c>
      <c r="AH77" s="558"/>
      <c r="AI77" s="558"/>
      <c r="AJ77" s="558"/>
      <c r="AK77" s="558"/>
    </row>
    <row r="78" spans="1:37" ht="12.75" customHeight="1">
      <c r="A78" s="559" t="s">
        <v>890</v>
      </c>
      <c r="B78" s="559"/>
      <c r="C78" s="559"/>
      <c r="D78" s="559"/>
      <c r="E78" s="559"/>
      <c r="F78" s="559"/>
      <c r="G78" s="559"/>
      <c r="H78" s="559"/>
      <c r="I78" s="559"/>
      <c r="J78" s="559"/>
      <c r="K78" s="559"/>
      <c r="L78" s="559"/>
      <c r="M78" s="559"/>
      <c r="N78" s="559"/>
      <c r="O78" s="559"/>
      <c r="P78" s="559"/>
      <c r="Q78" s="559"/>
      <c r="R78" s="559"/>
      <c r="S78" s="559"/>
      <c r="T78" s="559"/>
      <c r="U78" s="559"/>
      <c r="V78" s="559"/>
      <c r="W78" s="559"/>
      <c r="X78" s="559"/>
      <c r="Y78" s="559"/>
      <c r="Z78" s="560">
        <v>68</v>
      </c>
      <c r="AA78" s="560"/>
      <c r="AB78" s="560">
        <v>41758</v>
      </c>
      <c r="AC78" s="560"/>
      <c r="AD78" s="560"/>
      <c r="AE78" s="560"/>
      <c r="AF78" s="560"/>
      <c r="AG78" s="560">
        <f>SUM(AG74:AK77)</f>
        <v>6014</v>
      </c>
      <c r="AH78" s="560"/>
      <c r="AI78" s="560"/>
      <c r="AJ78" s="560"/>
      <c r="AK78" s="560"/>
    </row>
    <row r="79" spans="1:37" ht="12.75" customHeight="1">
      <c r="A79" s="559" t="s">
        <v>891</v>
      </c>
      <c r="B79" s="559"/>
      <c r="C79" s="559"/>
      <c r="D79" s="559"/>
      <c r="E79" s="559"/>
      <c r="F79" s="559"/>
      <c r="G79" s="559"/>
      <c r="H79" s="559"/>
      <c r="I79" s="559"/>
      <c r="J79" s="559"/>
      <c r="K79" s="559"/>
      <c r="L79" s="559"/>
      <c r="M79" s="559"/>
      <c r="N79" s="559"/>
      <c r="O79" s="559"/>
      <c r="P79" s="559"/>
      <c r="Q79" s="559"/>
      <c r="R79" s="559"/>
      <c r="S79" s="559"/>
      <c r="T79" s="559"/>
      <c r="U79" s="559"/>
      <c r="V79" s="559"/>
      <c r="W79" s="559"/>
      <c r="X79" s="559"/>
      <c r="Y79" s="559"/>
      <c r="Z79" s="560">
        <v>69</v>
      </c>
      <c r="AA79" s="560"/>
      <c r="AB79" s="560">
        <v>350785</v>
      </c>
      <c r="AC79" s="560"/>
      <c r="AD79" s="560"/>
      <c r="AE79" s="560"/>
      <c r="AF79" s="560"/>
      <c r="AG79" s="560">
        <f>AG54+AG65+AG68+AG73+AG78</f>
        <v>311412</v>
      </c>
      <c r="AH79" s="560"/>
      <c r="AI79" s="560"/>
      <c r="AJ79" s="560"/>
      <c r="AK79" s="560"/>
    </row>
    <row r="80" spans="1:37" ht="12.75" customHeight="1">
      <c r="A80" s="559" t="s">
        <v>584</v>
      </c>
      <c r="B80" s="559"/>
      <c r="C80" s="559"/>
      <c r="D80" s="559"/>
      <c r="E80" s="559"/>
      <c r="F80" s="559"/>
      <c r="G80" s="559"/>
      <c r="H80" s="559"/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60">
        <v>70</v>
      </c>
      <c r="AA80" s="560"/>
      <c r="AB80" s="560">
        <v>2228058</v>
      </c>
      <c r="AC80" s="560"/>
      <c r="AD80" s="560"/>
      <c r="AE80" s="560"/>
      <c r="AF80" s="560"/>
      <c r="AG80" s="560">
        <f>AG47+AG79</f>
        <v>2176674</v>
      </c>
      <c r="AH80" s="560"/>
      <c r="AI80" s="560"/>
      <c r="AJ80" s="560"/>
      <c r="AK80" s="560"/>
    </row>
    <row r="81" spans="1:37" ht="12.75" customHeight="1">
      <c r="A81" s="552" t="s">
        <v>585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552"/>
      <c r="X81" s="552"/>
      <c r="Y81" s="552"/>
      <c r="Z81" s="553" t="s">
        <v>44</v>
      </c>
      <c r="AA81" s="553"/>
      <c r="AB81" s="554" t="s">
        <v>488</v>
      </c>
      <c r="AC81" s="554"/>
      <c r="AD81" s="554"/>
      <c r="AE81" s="554"/>
      <c r="AF81" s="554"/>
      <c r="AG81" s="554" t="s">
        <v>490</v>
      </c>
      <c r="AH81" s="554"/>
      <c r="AI81" s="554"/>
      <c r="AJ81" s="554"/>
      <c r="AK81" s="554"/>
    </row>
    <row r="82" spans="1:37" ht="12.75">
      <c r="A82" s="552"/>
      <c r="B82" s="552"/>
      <c r="C82" s="552"/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552"/>
      <c r="X82" s="552"/>
      <c r="Y82" s="552"/>
      <c r="Z82" s="553"/>
      <c r="AA82" s="553"/>
      <c r="AB82" s="554" t="s">
        <v>518</v>
      </c>
      <c r="AC82" s="554"/>
      <c r="AD82" s="554"/>
      <c r="AE82" s="554"/>
      <c r="AF82" s="554"/>
      <c r="AG82" s="554"/>
      <c r="AH82" s="554"/>
      <c r="AI82" s="554"/>
      <c r="AJ82" s="554"/>
      <c r="AK82" s="554"/>
    </row>
    <row r="83" spans="1:37" ht="12.75" customHeight="1">
      <c r="A83" s="561" t="s">
        <v>519</v>
      </c>
      <c r="B83" s="561"/>
      <c r="C83" s="561"/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561"/>
      <c r="V83" s="561"/>
      <c r="W83" s="561"/>
      <c r="X83" s="561"/>
      <c r="Y83" s="561"/>
      <c r="Z83" s="558">
        <v>2</v>
      </c>
      <c r="AA83" s="558"/>
      <c r="AB83" s="558">
        <v>3</v>
      </c>
      <c r="AC83" s="558"/>
      <c r="AD83" s="558"/>
      <c r="AE83" s="558"/>
      <c r="AF83" s="558"/>
      <c r="AG83" s="558">
        <v>4</v>
      </c>
      <c r="AH83" s="558"/>
      <c r="AI83" s="558"/>
      <c r="AJ83" s="558"/>
      <c r="AK83" s="558"/>
    </row>
    <row r="84" spans="1:37" ht="12.75" customHeight="1">
      <c r="A84" s="557" t="s">
        <v>586</v>
      </c>
      <c r="B84" s="557"/>
      <c r="C84" s="557"/>
      <c r="D84" s="557"/>
      <c r="E84" s="557"/>
      <c r="F84" s="557"/>
      <c r="G84" s="557"/>
      <c r="H84" s="557"/>
      <c r="I84" s="557"/>
      <c r="J84" s="557"/>
      <c r="K84" s="557"/>
      <c r="L84" s="557"/>
      <c r="M84" s="557"/>
      <c r="N84" s="557"/>
      <c r="O84" s="557"/>
      <c r="P84" s="557"/>
      <c r="Q84" s="557"/>
      <c r="R84" s="557"/>
      <c r="S84" s="557"/>
      <c r="T84" s="557"/>
      <c r="U84" s="557"/>
      <c r="V84" s="557"/>
      <c r="W84" s="557"/>
      <c r="X84" s="557"/>
      <c r="Y84" s="557"/>
      <c r="Z84" s="558">
        <v>71</v>
      </c>
      <c r="AA84" s="558"/>
      <c r="AB84" s="558">
        <v>113252</v>
      </c>
      <c r="AC84" s="558"/>
      <c r="AD84" s="558"/>
      <c r="AE84" s="558"/>
      <c r="AF84" s="558"/>
      <c r="AG84" s="558">
        <v>113252</v>
      </c>
      <c r="AH84" s="558"/>
      <c r="AI84" s="558"/>
      <c r="AJ84" s="558"/>
      <c r="AK84" s="558"/>
    </row>
    <row r="85" spans="1:37" ht="12.75" customHeight="1">
      <c r="A85" s="557" t="s">
        <v>587</v>
      </c>
      <c r="B85" s="557"/>
      <c r="C85" s="557"/>
      <c r="D85" s="557"/>
      <c r="E85" s="557"/>
      <c r="F85" s="557"/>
      <c r="G85" s="557"/>
      <c r="H85" s="557"/>
      <c r="I85" s="557"/>
      <c r="J85" s="557"/>
      <c r="K85" s="557"/>
      <c r="L85" s="557"/>
      <c r="M85" s="557"/>
      <c r="N85" s="557"/>
      <c r="O85" s="557"/>
      <c r="P85" s="557"/>
      <c r="Q85" s="557"/>
      <c r="R85" s="557"/>
      <c r="S85" s="557"/>
      <c r="T85" s="557"/>
      <c r="U85" s="557"/>
      <c r="V85" s="557"/>
      <c r="W85" s="557"/>
      <c r="X85" s="557"/>
      <c r="Y85" s="557"/>
      <c r="Z85" s="558">
        <v>72</v>
      </c>
      <c r="AA85" s="558"/>
      <c r="AB85" s="558">
        <v>1262568</v>
      </c>
      <c r="AC85" s="558"/>
      <c r="AD85" s="558"/>
      <c r="AE85" s="558"/>
      <c r="AF85" s="558"/>
      <c r="AG85" s="558">
        <v>1264821</v>
      </c>
      <c r="AH85" s="558"/>
      <c r="AI85" s="558"/>
      <c r="AJ85" s="558"/>
      <c r="AK85" s="558"/>
    </row>
    <row r="86" spans="1:37" ht="12.75" customHeight="1">
      <c r="A86" s="557" t="s">
        <v>588</v>
      </c>
      <c r="B86" s="557"/>
      <c r="C86" s="557"/>
      <c r="D86" s="557"/>
      <c r="E86" s="557"/>
      <c r="F86" s="557"/>
      <c r="G86" s="557"/>
      <c r="H86" s="557"/>
      <c r="I86" s="557"/>
      <c r="J86" s="557"/>
      <c r="K86" s="557"/>
      <c r="L86" s="557"/>
      <c r="M86" s="557"/>
      <c r="N86" s="557"/>
      <c r="O86" s="557"/>
      <c r="P86" s="557"/>
      <c r="Q86" s="557"/>
      <c r="R86" s="557"/>
      <c r="S86" s="557"/>
      <c r="T86" s="557"/>
      <c r="U86" s="557"/>
      <c r="V86" s="557"/>
      <c r="W86" s="557"/>
      <c r="X86" s="557"/>
      <c r="Y86" s="557"/>
      <c r="Z86" s="558">
        <v>73</v>
      </c>
      <c r="AA86" s="558"/>
      <c r="AB86" s="558">
        <v>0</v>
      </c>
      <c r="AC86" s="558"/>
      <c r="AD86" s="558"/>
      <c r="AE86" s="558"/>
      <c r="AF86" s="558"/>
      <c r="AG86" s="558">
        <v>0</v>
      </c>
      <c r="AH86" s="558"/>
      <c r="AI86" s="558"/>
      <c r="AJ86" s="558"/>
      <c r="AK86" s="558"/>
    </row>
    <row r="87" spans="1:37" ht="12.75" customHeight="1">
      <c r="A87" s="559" t="s">
        <v>892</v>
      </c>
      <c r="B87" s="559"/>
      <c r="C87" s="559"/>
      <c r="D87" s="559"/>
      <c r="E87" s="559"/>
      <c r="F87" s="559"/>
      <c r="G87" s="559"/>
      <c r="H87" s="559"/>
      <c r="I87" s="559"/>
      <c r="J87" s="559"/>
      <c r="K87" s="559"/>
      <c r="L87" s="559"/>
      <c r="M87" s="559"/>
      <c r="N87" s="559"/>
      <c r="O87" s="559"/>
      <c r="P87" s="559"/>
      <c r="Q87" s="559"/>
      <c r="R87" s="559"/>
      <c r="S87" s="559"/>
      <c r="T87" s="559"/>
      <c r="U87" s="559"/>
      <c r="V87" s="559"/>
      <c r="W87" s="559"/>
      <c r="X87" s="559"/>
      <c r="Y87" s="559"/>
      <c r="Z87" s="560">
        <v>74</v>
      </c>
      <c r="AA87" s="560"/>
      <c r="AB87" s="560">
        <v>1375820</v>
      </c>
      <c r="AC87" s="560"/>
      <c r="AD87" s="560"/>
      <c r="AE87" s="560"/>
      <c r="AF87" s="560"/>
      <c r="AG87" s="560">
        <f>SUM(AG84:AK86)</f>
        <v>1378073</v>
      </c>
      <c r="AH87" s="560"/>
      <c r="AI87" s="560"/>
      <c r="AJ87" s="560"/>
      <c r="AK87" s="560"/>
    </row>
    <row r="88" spans="1:37" ht="12.75" customHeight="1">
      <c r="A88" s="557" t="s">
        <v>893</v>
      </c>
      <c r="B88" s="557"/>
      <c r="C88" s="557"/>
      <c r="D88" s="557"/>
      <c r="E88" s="557"/>
      <c r="F88" s="557"/>
      <c r="G88" s="557"/>
      <c r="H88" s="557"/>
      <c r="I88" s="557"/>
      <c r="J88" s="557"/>
      <c r="K88" s="557"/>
      <c r="L88" s="557"/>
      <c r="M88" s="557"/>
      <c r="N88" s="557"/>
      <c r="O88" s="557"/>
      <c r="P88" s="557"/>
      <c r="Q88" s="557"/>
      <c r="R88" s="557"/>
      <c r="S88" s="557"/>
      <c r="T88" s="557"/>
      <c r="U88" s="557"/>
      <c r="V88" s="557"/>
      <c r="W88" s="557"/>
      <c r="X88" s="557"/>
      <c r="Y88" s="557"/>
      <c r="Z88" s="558">
        <v>75</v>
      </c>
      <c r="AA88" s="558"/>
      <c r="AB88" s="558">
        <v>284627</v>
      </c>
      <c r="AC88" s="558"/>
      <c r="AD88" s="558"/>
      <c r="AE88" s="558"/>
      <c r="AF88" s="558"/>
      <c r="AG88" s="558">
        <v>6190</v>
      </c>
      <c r="AH88" s="558"/>
      <c r="AI88" s="558"/>
      <c r="AJ88" s="558"/>
      <c r="AK88" s="558"/>
    </row>
    <row r="89" spans="1:37" ht="12.75" customHeight="1">
      <c r="A89" s="557" t="s">
        <v>591</v>
      </c>
      <c r="B89" s="557"/>
      <c r="C89" s="557"/>
      <c r="D89" s="557"/>
      <c r="E89" s="557"/>
      <c r="F89" s="557"/>
      <c r="G89" s="557"/>
      <c r="H89" s="557"/>
      <c r="I89" s="557"/>
      <c r="J89" s="557"/>
      <c r="K89" s="557"/>
      <c r="L89" s="557"/>
      <c r="M89" s="557"/>
      <c r="N89" s="557"/>
      <c r="O89" s="557"/>
      <c r="P89" s="557"/>
      <c r="Q89" s="557"/>
      <c r="R89" s="557"/>
      <c r="S89" s="557"/>
      <c r="T89" s="557"/>
      <c r="U89" s="557"/>
      <c r="V89" s="557"/>
      <c r="W89" s="557"/>
      <c r="X89" s="557"/>
      <c r="Y89" s="557"/>
      <c r="Z89" s="558">
        <v>76</v>
      </c>
      <c r="AA89" s="558"/>
      <c r="AB89" s="558">
        <v>284627</v>
      </c>
      <c r="AC89" s="558"/>
      <c r="AD89" s="558"/>
      <c r="AE89" s="558"/>
      <c r="AF89" s="558"/>
      <c r="AG89" s="558">
        <v>6190</v>
      </c>
      <c r="AH89" s="558"/>
      <c r="AI89" s="558"/>
      <c r="AJ89" s="558"/>
      <c r="AK89" s="558"/>
    </row>
    <row r="90" spans="1:37" ht="12.75" customHeight="1">
      <c r="A90" s="557" t="s">
        <v>592</v>
      </c>
      <c r="B90" s="557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7"/>
      <c r="S90" s="557"/>
      <c r="T90" s="557"/>
      <c r="U90" s="557"/>
      <c r="V90" s="557"/>
      <c r="W90" s="557"/>
      <c r="X90" s="557"/>
      <c r="Y90" s="557"/>
      <c r="Z90" s="558">
        <v>77</v>
      </c>
      <c r="AA90" s="558"/>
      <c r="AB90" s="558">
        <v>0</v>
      </c>
      <c r="AC90" s="558"/>
      <c r="AD90" s="558"/>
      <c r="AE90" s="558"/>
      <c r="AF90" s="558"/>
      <c r="AG90" s="558">
        <v>0</v>
      </c>
      <c r="AH90" s="558"/>
      <c r="AI90" s="558"/>
      <c r="AJ90" s="558"/>
      <c r="AK90" s="558"/>
    </row>
    <row r="91" spans="1:37" ht="12.75" customHeight="1">
      <c r="A91" s="557" t="s">
        <v>593</v>
      </c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557"/>
      <c r="N91" s="557"/>
      <c r="O91" s="557"/>
      <c r="P91" s="557"/>
      <c r="Q91" s="557"/>
      <c r="R91" s="557"/>
      <c r="S91" s="557"/>
      <c r="T91" s="557"/>
      <c r="U91" s="557"/>
      <c r="V91" s="557"/>
      <c r="W91" s="557"/>
      <c r="X91" s="557"/>
      <c r="Y91" s="557"/>
      <c r="Z91" s="558">
        <v>78</v>
      </c>
      <c r="AA91" s="558"/>
      <c r="AB91" s="558">
        <v>144</v>
      </c>
      <c r="AC91" s="558"/>
      <c r="AD91" s="558"/>
      <c r="AE91" s="558"/>
      <c r="AF91" s="558"/>
      <c r="AG91" s="558">
        <v>195413</v>
      </c>
      <c r="AH91" s="558"/>
      <c r="AI91" s="558"/>
      <c r="AJ91" s="558"/>
      <c r="AK91" s="558"/>
    </row>
    <row r="92" spans="1:37" ht="12.75" customHeight="1">
      <c r="A92" s="557" t="s">
        <v>594</v>
      </c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  <c r="U92" s="557"/>
      <c r="V92" s="557"/>
      <c r="W92" s="557"/>
      <c r="X92" s="557"/>
      <c r="Y92" s="557"/>
      <c r="Z92" s="558">
        <v>79</v>
      </c>
      <c r="AA92" s="558"/>
      <c r="AB92" s="558">
        <v>0</v>
      </c>
      <c r="AC92" s="558"/>
      <c r="AD92" s="558"/>
      <c r="AE92" s="558"/>
      <c r="AF92" s="558"/>
      <c r="AG92" s="558">
        <v>0</v>
      </c>
      <c r="AH92" s="558"/>
      <c r="AI92" s="558"/>
      <c r="AJ92" s="558"/>
      <c r="AK92" s="558"/>
    </row>
    <row r="93" spans="1:37" ht="12.75" customHeight="1">
      <c r="A93" s="557" t="s">
        <v>595</v>
      </c>
      <c r="B93" s="557"/>
      <c r="C93" s="557"/>
      <c r="D93" s="557"/>
      <c r="E93" s="557"/>
      <c r="F93" s="557"/>
      <c r="G93" s="557"/>
      <c r="H93" s="557"/>
      <c r="I93" s="557"/>
      <c r="J93" s="557"/>
      <c r="K93" s="557"/>
      <c r="L93" s="557"/>
      <c r="M93" s="557"/>
      <c r="N93" s="557"/>
      <c r="O93" s="557"/>
      <c r="P93" s="557"/>
      <c r="Q93" s="557"/>
      <c r="R93" s="557"/>
      <c r="S93" s="557"/>
      <c r="T93" s="557"/>
      <c r="U93" s="557"/>
      <c r="V93" s="557"/>
      <c r="W93" s="557"/>
      <c r="X93" s="557"/>
      <c r="Y93" s="557"/>
      <c r="Z93" s="558">
        <v>80</v>
      </c>
      <c r="AA93" s="558"/>
      <c r="AB93" s="558">
        <v>0</v>
      </c>
      <c r="AC93" s="558"/>
      <c r="AD93" s="558"/>
      <c r="AE93" s="558"/>
      <c r="AF93" s="558"/>
      <c r="AG93" s="558">
        <v>0</v>
      </c>
      <c r="AH93" s="558"/>
      <c r="AI93" s="558"/>
      <c r="AJ93" s="558"/>
      <c r="AK93" s="558"/>
    </row>
    <row r="94" spans="1:37" ht="12.75" customHeight="1">
      <c r="A94" s="557" t="s">
        <v>596</v>
      </c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8">
        <v>81</v>
      </c>
      <c r="AA94" s="558"/>
      <c r="AB94" s="558">
        <v>0</v>
      </c>
      <c r="AC94" s="558"/>
      <c r="AD94" s="558"/>
      <c r="AE94" s="558"/>
      <c r="AF94" s="558"/>
      <c r="AG94" s="558">
        <v>0</v>
      </c>
      <c r="AH94" s="558"/>
      <c r="AI94" s="558"/>
      <c r="AJ94" s="558"/>
      <c r="AK94" s="558"/>
    </row>
    <row r="95" spans="1:37" ht="12.75" customHeight="1">
      <c r="A95" s="559" t="s">
        <v>894</v>
      </c>
      <c r="B95" s="559"/>
      <c r="C95" s="559"/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60">
        <v>82</v>
      </c>
      <c r="AA95" s="560"/>
      <c r="AB95" s="560">
        <v>284771</v>
      </c>
      <c r="AC95" s="560"/>
      <c r="AD95" s="560"/>
      <c r="AE95" s="560"/>
      <c r="AF95" s="560"/>
      <c r="AG95" s="560">
        <f>SUM(AG89:AK94)</f>
        <v>201603</v>
      </c>
      <c r="AH95" s="560"/>
      <c r="AI95" s="560"/>
      <c r="AJ95" s="560"/>
      <c r="AK95" s="560"/>
    </row>
    <row r="96" spans="1:37" ht="12.75" customHeight="1">
      <c r="A96" s="557" t="s">
        <v>895</v>
      </c>
      <c r="B96" s="557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  <c r="X96" s="557"/>
      <c r="Y96" s="557"/>
      <c r="Z96" s="558">
        <v>83</v>
      </c>
      <c r="AA96" s="558"/>
      <c r="AB96" s="558">
        <v>0</v>
      </c>
      <c r="AC96" s="558"/>
      <c r="AD96" s="558"/>
      <c r="AE96" s="558"/>
      <c r="AF96" s="558"/>
      <c r="AG96" s="558">
        <v>0</v>
      </c>
      <c r="AH96" s="558"/>
      <c r="AI96" s="558"/>
      <c r="AJ96" s="558"/>
      <c r="AK96" s="558"/>
    </row>
    <row r="97" spans="1:37" ht="12.75" customHeight="1">
      <c r="A97" s="557" t="s">
        <v>599</v>
      </c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  <c r="R97" s="557"/>
      <c r="S97" s="557"/>
      <c r="T97" s="557"/>
      <c r="U97" s="557"/>
      <c r="V97" s="557"/>
      <c r="W97" s="557"/>
      <c r="X97" s="557"/>
      <c r="Y97" s="557"/>
      <c r="Z97" s="558">
        <v>84</v>
      </c>
      <c r="AA97" s="558"/>
      <c r="AB97" s="558">
        <v>0</v>
      </c>
      <c r="AC97" s="558"/>
      <c r="AD97" s="558"/>
      <c r="AE97" s="558"/>
      <c r="AF97" s="558"/>
      <c r="AG97" s="558">
        <v>0</v>
      </c>
      <c r="AH97" s="558"/>
      <c r="AI97" s="558"/>
      <c r="AJ97" s="558"/>
      <c r="AK97" s="558"/>
    </row>
    <row r="98" spans="1:37" ht="12.75" customHeight="1">
      <c r="A98" s="557" t="s">
        <v>600</v>
      </c>
      <c r="B98" s="557"/>
      <c r="C98" s="557"/>
      <c r="D98" s="557"/>
      <c r="E98" s="557"/>
      <c r="F98" s="557"/>
      <c r="G98" s="557"/>
      <c r="H98" s="557"/>
      <c r="I98" s="557"/>
      <c r="J98" s="557"/>
      <c r="K98" s="557"/>
      <c r="L98" s="557"/>
      <c r="M98" s="557"/>
      <c r="N98" s="557"/>
      <c r="O98" s="557"/>
      <c r="P98" s="557"/>
      <c r="Q98" s="557"/>
      <c r="R98" s="557"/>
      <c r="S98" s="557"/>
      <c r="T98" s="557"/>
      <c r="U98" s="557"/>
      <c r="V98" s="557"/>
      <c r="W98" s="557"/>
      <c r="X98" s="557"/>
      <c r="Y98" s="557"/>
      <c r="Z98" s="558">
        <v>85</v>
      </c>
      <c r="AA98" s="558"/>
      <c r="AB98" s="558">
        <v>0</v>
      </c>
      <c r="AC98" s="558"/>
      <c r="AD98" s="558"/>
      <c r="AE98" s="558"/>
      <c r="AF98" s="558"/>
      <c r="AG98" s="558">
        <v>0</v>
      </c>
      <c r="AH98" s="558"/>
      <c r="AI98" s="558"/>
      <c r="AJ98" s="558"/>
      <c r="AK98" s="558"/>
    </row>
    <row r="99" spans="1:37" ht="12.75" customHeight="1">
      <c r="A99" s="557" t="s">
        <v>601</v>
      </c>
      <c r="B99" s="557"/>
      <c r="C99" s="557"/>
      <c r="D99" s="557"/>
      <c r="E99" s="557"/>
      <c r="F99" s="557"/>
      <c r="G99" s="557"/>
      <c r="H99" s="557"/>
      <c r="I99" s="557"/>
      <c r="J99" s="557"/>
      <c r="K99" s="557"/>
      <c r="L99" s="557"/>
      <c r="M99" s="557"/>
      <c r="N99" s="557"/>
      <c r="O99" s="557"/>
      <c r="P99" s="557"/>
      <c r="Q99" s="557"/>
      <c r="R99" s="557"/>
      <c r="S99" s="557"/>
      <c r="T99" s="557"/>
      <c r="U99" s="557"/>
      <c r="V99" s="557"/>
      <c r="W99" s="557"/>
      <c r="X99" s="557"/>
      <c r="Y99" s="557"/>
      <c r="Z99" s="558">
        <v>86</v>
      </c>
      <c r="AA99" s="558"/>
      <c r="AB99" s="558">
        <v>0</v>
      </c>
      <c r="AC99" s="558"/>
      <c r="AD99" s="558"/>
      <c r="AE99" s="558"/>
      <c r="AF99" s="558"/>
      <c r="AG99" s="558">
        <v>0</v>
      </c>
      <c r="AH99" s="558"/>
      <c r="AI99" s="558"/>
      <c r="AJ99" s="558"/>
      <c r="AK99" s="558"/>
    </row>
    <row r="100" spans="1:37" ht="12.75" customHeight="1">
      <c r="A100" s="557" t="s">
        <v>602</v>
      </c>
      <c r="B100" s="557"/>
      <c r="C100" s="557"/>
      <c r="D100" s="557"/>
      <c r="E100" s="557"/>
      <c r="F100" s="557"/>
      <c r="G100" s="557"/>
      <c r="H100" s="557"/>
      <c r="I100" s="557"/>
      <c r="J100" s="557"/>
      <c r="K100" s="557"/>
      <c r="L100" s="557"/>
      <c r="M100" s="557"/>
      <c r="N100" s="557"/>
      <c r="O100" s="557"/>
      <c r="P100" s="557"/>
      <c r="Q100" s="557"/>
      <c r="R100" s="557"/>
      <c r="S100" s="557"/>
      <c r="T100" s="557"/>
      <c r="U100" s="557"/>
      <c r="V100" s="557"/>
      <c r="W100" s="557"/>
      <c r="X100" s="557"/>
      <c r="Y100" s="557"/>
      <c r="Z100" s="558">
        <v>87</v>
      </c>
      <c r="AA100" s="558"/>
      <c r="AB100" s="558">
        <v>0</v>
      </c>
      <c r="AC100" s="558"/>
      <c r="AD100" s="558"/>
      <c r="AE100" s="558"/>
      <c r="AF100" s="558"/>
      <c r="AG100" s="558">
        <v>0</v>
      </c>
      <c r="AH100" s="558"/>
      <c r="AI100" s="558"/>
      <c r="AJ100" s="558"/>
      <c r="AK100" s="558"/>
    </row>
    <row r="101" spans="1:37" ht="12.75" customHeight="1">
      <c r="A101" s="557" t="s">
        <v>603</v>
      </c>
      <c r="B101" s="557"/>
      <c r="C101" s="557"/>
      <c r="D101" s="557"/>
      <c r="E101" s="557"/>
      <c r="F101" s="557"/>
      <c r="G101" s="557"/>
      <c r="H101" s="557"/>
      <c r="I101" s="557"/>
      <c r="J101" s="557"/>
      <c r="K101" s="557"/>
      <c r="L101" s="557"/>
      <c r="M101" s="557"/>
      <c r="N101" s="557"/>
      <c r="O101" s="557"/>
      <c r="P101" s="557"/>
      <c r="Q101" s="557"/>
      <c r="R101" s="557"/>
      <c r="S101" s="557"/>
      <c r="T101" s="557"/>
      <c r="U101" s="557"/>
      <c r="V101" s="557"/>
      <c r="W101" s="557"/>
      <c r="X101" s="557"/>
      <c r="Y101" s="557"/>
      <c r="Z101" s="558">
        <v>88</v>
      </c>
      <c r="AA101" s="558"/>
      <c r="AB101" s="558">
        <v>0</v>
      </c>
      <c r="AC101" s="558"/>
      <c r="AD101" s="558"/>
      <c r="AE101" s="558"/>
      <c r="AF101" s="558"/>
      <c r="AG101" s="558">
        <v>0</v>
      </c>
      <c r="AH101" s="558"/>
      <c r="AI101" s="558"/>
      <c r="AJ101" s="558"/>
      <c r="AK101" s="558"/>
    </row>
    <row r="102" spans="1:37" ht="12.75" customHeight="1">
      <c r="A102" s="559" t="s">
        <v>896</v>
      </c>
      <c r="B102" s="559"/>
      <c r="C102" s="559"/>
      <c r="D102" s="559"/>
      <c r="E102" s="559"/>
      <c r="F102" s="559"/>
      <c r="G102" s="559"/>
      <c r="H102" s="559"/>
      <c r="I102" s="559"/>
      <c r="J102" s="559"/>
      <c r="K102" s="559"/>
      <c r="L102" s="559"/>
      <c r="M102" s="559"/>
      <c r="N102" s="559"/>
      <c r="O102" s="559"/>
      <c r="P102" s="559"/>
      <c r="Q102" s="559"/>
      <c r="R102" s="559"/>
      <c r="S102" s="559"/>
      <c r="T102" s="559"/>
      <c r="U102" s="559"/>
      <c r="V102" s="559"/>
      <c r="W102" s="559"/>
      <c r="X102" s="559"/>
      <c r="Y102" s="559"/>
      <c r="Z102" s="560">
        <v>89</v>
      </c>
      <c r="AA102" s="560"/>
      <c r="AB102" s="560">
        <v>0</v>
      </c>
      <c r="AC102" s="560"/>
      <c r="AD102" s="560"/>
      <c r="AE102" s="560"/>
      <c r="AF102" s="560"/>
      <c r="AG102" s="560">
        <v>0</v>
      </c>
      <c r="AH102" s="560"/>
      <c r="AI102" s="560"/>
      <c r="AJ102" s="560"/>
      <c r="AK102" s="560"/>
    </row>
    <row r="103" spans="1:37" ht="12.75" customHeight="1">
      <c r="A103" s="559" t="s">
        <v>897</v>
      </c>
      <c r="B103" s="559"/>
      <c r="C103" s="559"/>
      <c r="D103" s="559"/>
      <c r="E103" s="559"/>
      <c r="F103" s="559"/>
      <c r="G103" s="559"/>
      <c r="H103" s="559"/>
      <c r="I103" s="559"/>
      <c r="J103" s="559"/>
      <c r="K103" s="559"/>
      <c r="L103" s="559"/>
      <c r="M103" s="559"/>
      <c r="N103" s="559"/>
      <c r="O103" s="559"/>
      <c r="P103" s="559"/>
      <c r="Q103" s="559"/>
      <c r="R103" s="559"/>
      <c r="S103" s="559"/>
      <c r="T103" s="559"/>
      <c r="U103" s="559"/>
      <c r="V103" s="559"/>
      <c r="W103" s="559"/>
      <c r="X103" s="559"/>
      <c r="Y103" s="559"/>
      <c r="Z103" s="560">
        <v>90</v>
      </c>
      <c r="AA103" s="560"/>
      <c r="AB103" s="560">
        <v>284771</v>
      </c>
      <c r="AC103" s="560"/>
      <c r="AD103" s="560"/>
      <c r="AE103" s="560"/>
      <c r="AF103" s="560"/>
      <c r="AG103" s="560">
        <f>SUM(AG95:AK102)</f>
        <v>201603</v>
      </c>
      <c r="AH103" s="560"/>
      <c r="AI103" s="560"/>
      <c r="AJ103" s="560"/>
      <c r="AK103" s="560"/>
    </row>
    <row r="104" spans="1:37" ht="12.75" customHeight="1">
      <c r="A104" s="557" t="s">
        <v>606</v>
      </c>
      <c r="B104" s="557"/>
      <c r="C104" s="557"/>
      <c r="D104" s="557"/>
      <c r="E104" s="557"/>
      <c r="F104" s="557"/>
      <c r="G104" s="557"/>
      <c r="H104" s="557"/>
      <c r="I104" s="557"/>
      <c r="J104" s="557"/>
      <c r="K104" s="557"/>
      <c r="L104" s="557"/>
      <c r="M104" s="557"/>
      <c r="N104" s="557"/>
      <c r="O104" s="557"/>
      <c r="P104" s="557"/>
      <c r="Q104" s="557"/>
      <c r="R104" s="557"/>
      <c r="S104" s="557"/>
      <c r="T104" s="557"/>
      <c r="U104" s="557"/>
      <c r="V104" s="557"/>
      <c r="W104" s="557"/>
      <c r="X104" s="557"/>
      <c r="Y104" s="557"/>
      <c r="Z104" s="558">
        <v>91</v>
      </c>
      <c r="AA104" s="558"/>
      <c r="AB104" s="558">
        <v>0</v>
      </c>
      <c r="AC104" s="558"/>
      <c r="AD104" s="558"/>
      <c r="AE104" s="558"/>
      <c r="AF104" s="558"/>
      <c r="AG104" s="558">
        <v>0</v>
      </c>
      <c r="AH104" s="558"/>
      <c r="AI104" s="558"/>
      <c r="AJ104" s="558"/>
      <c r="AK104" s="558"/>
    </row>
    <row r="105" spans="1:37" ht="12.75" customHeight="1">
      <c r="A105" s="557" t="s">
        <v>607</v>
      </c>
      <c r="B105" s="557"/>
      <c r="C105" s="557"/>
      <c r="D105" s="557"/>
      <c r="E105" s="557"/>
      <c r="F105" s="557"/>
      <c r="G105" s="557"/>
      <c r="H105" s="557"/>
      <c r="I105" s="557"/>
      <c r="J105" s="557"/>
      <c r="K105" s="557"/>
      <c r="L105" s="557"/>
      <c r="M105" s="557"/>
      <c r="N105" s="557"/>
      <c r="O105" s="557"/>
      <c r="P105" s="557"/>
      <c r="Q105" s="557"/>
      <c r="R105" s="557"/>
      <c r="S105" s="557"/>
      <c r="T105" s="557"/>
      <c r="U105" s="557"/>
      <c r="V105" s="557"/>
      <c r="W105" s="557"/>
      <c r="X105" s="557"/>
      <c r="Y105" s="557"/>
      <c r="Z105" s="558">
        <v>92</v>
      </c>
      <c r="AA105" s="558"/>
      <c r="AB105" s="558">
        <v>342829</v>
      </c>
      <c r="AC105" s="558"/>
      <c r="AD105" s="558"/>
      <c r="AE105" s="558"/>
      <c r="AF105" s="558"/>
      <c r="AG105" s="558">
        <v>351623</v>
      </c>
      <c r="AH105" s="558"/>
      <c r="AI105" s="558"/>
      <c r="AJ105" s="558"/>
      <c r="AK105" s="558"/>
    </row>
    <row r="106" spans="1:37" ht="12.75" customHeight="1">
      <c r="A106" s="557" t="s">
        <v>608</v>
      </c>
      <c r="B106" s="557"/>
      <c r="C106" s="557"/>
      <c r="D106" s="557"/>
      <c r="E106" s="557"/>
      <c r="F106" s="557"/>
      <c r="G106" s="557"/>
      <c r="H106" s="557"/>
      <c r="I106" s="557"/>
      <c r="J106" s="557"/>
      <c r="K106" s="557"/>
      <c r="L106" s="557"/>
      <c r="M106" s="557"/>
      <c r="N106" s="557"/>
      <c r="O106" s="557"/>
      <c r="P106" s="557"/>
      <c r="Q106" s="557"/>
      <c r="R106" s="557"/>
      <c r="S106" s="557"/>
      <c r="T106" s="557"/>
      <c r="U106" s="557"/>
      <c r="V106" s="557"/>
      <c r="W106" s="557"/>
      <c r="X106" s="557"/>
      <c r="Y106" s="557"/>
      <c r="Z106" s="558">
        <v>93</v>
      </c>
      <c r="AA106" s="558"/>
      <c r="AB106" s="558">
        <v>0</v>
      </c>
      <c r="AC106" s="558"/>
      <c r="AD106" s="558"/>
      <c r="AE106" s="558"/>
      <c r="AF106" s="558"/>
      <c r="AG106" s="558">
        <v>0</v>
      </c>
      <c r="AH106" s="558"/>
      <c r="AI106" s="558"/>
      <c r="AJ106" s="558"/>
      <c r="AK106" s="558"/>
    </row>
    <row r="107" spans="1:37" ht="12.75" customHeight="1">
      <c r="A107" s="557" t="s">
        <v>609</v>
      </c>
      <c r="B107" s="557"/>
      <c r="C107" s="557"/>
      <c r="D107" s="557"/>
      <c r="E107" s="557"/>
      <c r="F107" s="557"/>
      <c r="G107" s="557"/>
      <c r="H107" s="557"/>
      <c r="I107" s="557"/>
      <c r="J107" s="557"/>
      <c r="K107" s="557"/>
      <c r="L107" s="557"/>
      <c r="M107" s="557"/>
      <c r="N107" s="557"/>
      <c r="O107" s="557"/>
      <c r="P107" s="557"/>
      <c r="Q107" s="557"/>
      <c r="R107" s="557"/>
      <c r="S107" s="557"/>
      <c r="T107" s="557"/>
      <c r="U107" s="557"/>
      <c r="V107" s="557"/>
      <c r="W107" s="557"/>
      <c r="X107" s="557"/>
      <c r="Y107" s="557"/>
      <c r="Z107" s="558">
        <v>94</v>
      </c>
      <c r="AA107" s="558"/>
      <c r="AB107" s="558">
        <v>86319</v>
      </c>
      <c r="AC107" s="558"/>
      <c r="AD107" s="558"/>
      <c r="AE107" s="558"/>
      <c r="AF107" s="558"/>
      <c r="AG107" s="558">
        <v>79536</v>
      </c>
      <c r="AH107" s="558"/>
      <c r="AI107" s="558"/>
      <c r="AJ107" s="558"/>
      <c r="AK107" s="558"/>
    </row>
    <row r="108" spans="1:37" ht="12.75" customHeight="1">
      <c r="A108" s="557" t="s">
        <v>610</v>
      </c>
      <c r="B108" s="557"/>
      <c r="C108" s="557"/>
      <c r="D108" s="557"/>
      <c r="E108" s="557"/>
      <c r="F108" s="557"/>
      <c r="G108" s="557"/>
      <c r="H108" s="557"/>
      <c r="I108" s="557"/>
      <c r="J108" s="557"/>
      <c r="K108" s="557"/>
      <c r="L108" s="557"/>
      <c r="M108" s="557"/>
      <c r="N108" s="557"/>
      <c r="O108" s="557"/>
      <c r="P108" s="557"/>
      <c r="Q108" s="557"/>
      <c r="R108" s="557"/>
      <c r="S108" s="557"/>
      <c r="T108" s="557"/>
      <c r="U108" s="557"/>
      <c r="V108" s="557"/>
      <c r="W108" s="557"/>
      <c r="X108" s="557"/>
      <c r="Y108" s="557"/>
      <c r="Z108" s="558">
        <v>95</v>
      </c>
      <c r="AA108" s="558"/>
      <c r="AB108" s="558">
        <v>0</v>
      </c>
      <c r="AC108" s="558"/>
      <c r="AD108" s="558"/>
      <c r="AE108" s="558"/>
      <c r="AF108" s="558"/>
      <c r="AG108" s="558">
        <v>0</v>
      </c>
      <c r="AH108" s="558"/>
      <c r="AI108" s="558"/>
      <c r="AJ108" s="558"/>
      <c r="AK108" s="558"/>
    </row>
    <row r="109" spans="1:37" ht="12.75" customHeight="1">
      <c r="A109" s="557" t="s">
        <v>611</v>
      </c>
      <c r="B109" s="557"/>
      <c r="C109" s="557"/>
      <c r="D109" s="557"/>
      <c r="E109" s="557"/>
      <c r="F109" s="557"/>
      <c r="G109" s="557"/>
      <c r="H109" s="557"/>
      <c r="I109" s="557"/>
      <c r="J109" s="557"/>
      <c r="K109" s="557"/>
      <c r="L109" s="557"/>
      <c r="M109" s="557"/>
      <c r="N109" s="557"/>
      <c r="O109" s="557"/>
      <c r="P109" s="557"/>
      <c r="Q109" s="557"/>
      <c r="R109" s="557"/>
      <c r="S109" s="557"/>
      <c r="T109" s="557"/>
      <c r="U109" s="557"/>
      <c r="V109" s="557"/>
      <c r="W109" s="557"/>
      <c r="X109" s="557"/>
      <c r="Y109" s="557"/>
      <c r="Z109" s="558">
        <v>96</v>
      </c>
      <c r="AA109" s="558"/>
      <c r="AB109" s="558">
        <v>0</v>
      </c>
      <c r="AC109" s="558"/>
      <c r="AD109" s="558"/>
      <c r="AE109" s="558"/>
      <c r="AF109" s="558"/>
      <c r="AG109" s="558">
        <v>0</v>
      </c>
      <c r="AH109" s="558"/>
      <c r="AI109" s="558"/>
      <c r="AJ109" s="558"/>
      <c r="AK109" s="558"/>
    </row>
    <row r="110" spans="1:37" ht="12.75" customHeight="1">
      <c r="A110" s="559" t="s">
        <v>898</v>
      </c>
      <c r="B110" s="559"/>
      <c r="C110" s="559"/>
      <c r="D110" s="559"/>
      <c r="E110" s="559"/>
      <c r="F110" s="559"/>
      <c r="G110" s="559"/>
      <c r="H110" s="559"/>
      <c r="I110" s="559"/>
      <c r="J110" s="559"/>
      <c r="K110" s="559"/>
      <c r="L110" s="559"/>
      <c r="M110" s="559"/>
      <c r="N110" s="559"/>
      <c r="O110" s="559"/>
      <c r="P110" s="559"/>
      <c r="Q110" s="559"/>
      <c r="R110" s="559"/>
      <c r="S110" s="559"/>
      <c r="T110" s="559"/>
      <c r="U110" s="559"/>
      <c r="V110" s="559"/>
      <c r="W110" s="559"/>
      <c r="X110" s="559"/>
      <c r="Y110" s="559"/>
      <c r="Z110" s="560">
        <v>97</v>
      </c>
      <c r="AA110" s="560"/>
      <c r="AB110" s="560">
        <v>429148</v>
      </c>
      <c r="AC110" s="560"/>
      <c r="AD110" s="560"/>
      <c r="AE110" s="560"/>
      <c r="AF110" s="560"/>
      <c r="AG110" s="560">
        <f>SUM(AG104:AK109)</f>
        <v>431159</v>
      </c>
      <c r="AH110" s="560"/>
      <c r="AI110" s="560"/>
      <c r="AJ110" s="560"/>
      <c r="AK110" s="560"/>
    </row>
    <row r="111" spans="1:37" ht="12.75" customHeight="1">
      <c r="A111" s="557" t="s">
        <v>613</v>
      </c>
      <c r="B111" s="557"/>
      <c r="C111" s="557"/>
      <c r="D111" s="557"/>
      <c r="E111" s="557"/>
      <c r="F111" s="557"/>
      <c r="G111" s="557"/>
      <c r="H111" s="557"/>
      <c r="I111" s="557"/>
      <c r="J111" s="557"/>
      <c r="K111" s="557"/>
      <c r="L111" s="557"/>
      <c r="M111" s="557"/>
      <c r="N111" s="557"/>
      <c r="O111" s="557"/>
      <c r="P111" s="557"/>
      <c r="Q111" s="557"/>
      <c r="R111" s="557"/>
      <c r="S111" s="557"/>
      <c r="T111" s="557"/>
      <c r="U111" s="557"/>
      <c r="V111" s="557"/>
      <c r="W111" s="557"/>
      <c r="X111" s="557"/>
      <c r="Y111" s="557"/>
      <c r="Z111" s="558">
        <v>98</v>
      </c>
      <c r="AA111" s="558"/>
      <c r="AB111" s="558">
        <v>0</v>
      </c>
      <c r="AC111" s="558"/>
      <c r="AD111" s="558"/>
      <c r="AE111" s="558"/>
      <c r="AF111" s="558"/>
      <c r="AG111" s="558">
        <v>0</v>
      </c>
      <c r="AH111" s="558"/>
      <c r="AI111" s="558"/>
      <c r="AJ111" s="558"/>
      <c r="AK111" s="558"/>
    </row>
    <row r="112" spans="1:37" ht="12.75" customHeight="1">
      <c r="A112" s="557" t="s">
        <v>614</v>
      </c>
      <c r="B112" s="557"/>
      <c r="C112" s="557"/>
      <c r="D112" s="557"/>
      <c r="E112" s="557"/>
      <c r="F112" s="557"/>
      <c r="G112" s="557"/>
      <c r="H112" s="557"/>
      <c r="I112" s="557"/>
      <c r="J112" s="557"/>
      <c r="K112" s="557"/>
      <c r="L112" s="557"/>
      <c r="M112" s="557"/>
      <c r="N112" s="557"/>
      <c r="O112" s="557"/>
      <c r="P112" s="557"/>
      <c r="Q112" s="557"/>
      <c r="R112" s="557"/>
      <c r="S112" s="557"/>
      <c r="T112" s="557"/>
      <c r="U112" s="557"/>
      <c r="V112" s="557"/>
      <c r="W112" s="557"/>
      <c r="X112" s="557"/>
      <c r="Y112" s="557"/>
      <c r="Z112" s="558">
        <v>99</v>
      </c>
      <c r="AA112" s="558"/>
      <c r="AB112" s="558">
        <v>0</v>
      </c>
      <c r="AC112" s="558"/>
      <c r="AD112" s="558"/>
      <c r="AE112" s="558"/>
      <c r="AF112" s="558"/>
      <c r="AG112" s="558">
        <v>48406</v>
      </c>
      <c r="AH112" s="558"/>
      <c r="AI112" s="558"/>
      <c r="AJ112" s="558"/>
      <c r="AK112" s="558"/>
    </row>
    <row r="113" spans="1:37" ht="12.75" customHeight="1">
      <c r="A113" s="557" t="s">
        <v>899</v>
      </c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8">
        <v>100</v>
      </c>
      <c r="AA113" s="558"/>
      <c r="AB113" s="558">
        <v>36683</v>
      </c>
      <c r="AC113" s="558"/>
      <c r="AD113" s="558"/>
      <c r="AE113" s="558"/>
      <c r="AF113" s="558"/>
      <c r="AG113" s="558">
        <f>SUM(AG114:AK115)</f>
        <v>58001</v>
      </c>
      <c r="AH113" s="558"/>
      <c r="AI113" s="558"/>
      <c r="AJ113" s="558"/>
      <c r="AK113" s="558"/>
    </row>
    <row r="114" spans="1:37" ht="12.75" customHeight="1">
      <c r="A114" s="557" t="s">
        <v>617</v>
      </c>
      <c r="B114" s="557"/>
      <c r="C114" s="557"/>
      <c r="D114" s="557"/>
      <c r="E114" s="557"/>
      <c r="F114" s="557"/>
      <c r="G114" s="557"/>
      <c r="H114" s="557"/>
      <c r="I114" s="557"/>
      <c r="J114" s="557"/>
      <c r="K114" s="557"/>
      <c r="L114" s="557"/>
      <c r="M114" s="557"/>
      <c r="N114" s="557"/>
      <c r="O114" s="557"/>
      <c r="P114" s="557"/>
      <c r="Q114" s="557"/>
      <c r="R114" s="557"/>
      <c r="S114" s="557"/>
      <c r="T114" s="557"/>
      <c r="U114" s="557"/>
      <c r="V114" s="557"/>
      <c r="W114" s="557"/>
      <c r="X114" s="557"/>
      <c r="Y114" s="557"/>
      <c r="Z114" s="558">
        <v>101</v>
      </c>
      <c r="AA114" s="558"/>
      <c r="AB114" s="558">
        <v>32741</v>
      </c>
      <c r="AC114" s="558"/>
      <c r="AD114" s="558"/>
      <c r="AE114" s="558"/>
      <c r="AF114" s="558"/>
      <c r="AG114" s="558">
        <v>53630</v>
      </c>
      <c r="AH114" s="558"/>
      <c r="AI114" s="558"/>
      <c r="AJ114" s="558"/>
      <c r="AK114" s="558"/>
    </row>
    <row r="115" spans="1:37" ht="12.75" customHeight="1">
      <c r="A115" s="557" t="s">
        <v>618</v>
      </c>
      <c r="B115" s="557"/>
      <c r="C115" s="557"/>
      <c r="D115" s="557"/>
      <c r="E115" s="557"/>
      <c r="F115" s="557"/>
      <c r="G115" s="557"/>
      <c r="H115" s="557"/>
      <c r="I115" s="557"/>
      <c r="J115" s="557"/>
      <c r="K115" s="557"/>
      <c r="L115" s="557"/>
      <c r="M115" s="557"/>
      <c r="N115" s="557"/>
      <c r="O115" s="557"/>
      <c r="P115" s="557"/>
      <c r="Q115" s="557"/>
      <c r="R115" s="557"/>
      <c r="S115" s="557"/>
      <c r="T115" s="557"/>
      <c r="U115" s="557"/>
      <c r="V115" s="557"/>
      <c r="W115" s="557"/>
      <c r="X115" s="557"/>
      <c r="Y115" s="557"/>
      <c r="Z115" s="558">
        <v>102</v>
      </c>
      <c r="AA115" s="558"/>
      <c r="AB115" s="558">
        <v>3942</v>
      </c>
      <c r="AC115" s="558"/>
      <c r="AD115" s="558"/>
      <c r="AE115" s="558"/>
      <c r="AF115" s="558"/>
      <c r="AG115" s="558">
        <v>4371</v>
      </c>
      <c r="AH115" s="558"/>
      <c r="AI115" s="558"/>
      <c r="AJ115" s="558"/>
      <c r="AK115" s="558"/>
    </row>
    <row r="116" spans="1:37" ht="12.75" customHeight="1">
      <c r="A116" s="557" t="s">
        <v>900</v>
      </c>
      <c r="B116" s="557"/>
      <c r="C116" s="557"/>
      <c r="D116" s="557"/>
      <c r="E116" s="557"/>
      <c r="F116" s="557"/>
      <c r="G116" s="557"/>
      <c r="H116" s="557"/>
      <c r="I116" s="557"/>
      <c r="J116" s="557"/>
      <c r="K116" s="557"/>
      <c r="L116" s="557"/>
      <c r="M116" s="557"/>
      <c r="N116" s="557"/>
      <c r="O116" s="557"/>
      <c r="P116" s="557"/>
      <c r="Q116" s="557"/>
      <c r="R116" s="557"/>
      <c r="S116" s="557"/>
      <c r="T116" s="557"/>
      <c r="U116" s="557"/>
      <c r="V116" s="557"/>
      <c r="W116" s="557"/>
      <c r="X116" s="557"/>
      <c r="Y116" s="557"/>
      <c r="Z116" s="558">
        <v>103</v>
      </c>
      <c r="AA116" s="558"/>
      <c r="AB116" s="558">
        <v>57267</v>
      </c>
      <c r="AC116" s="558"/>
      <c r="AD116" s="558"/>
      <c r="AE116" s="558"/>
      <c r="AF116" s="558"/>
      <c r="AG116" s="558">
        <f>SUM(AG117:AK134)</f>
        <v>18813</v>
      </c>
      <c r="AH116" s="558"/>
      <c r="AI116" s="558"/>
      <c r="AJ116" s="558"/>
      <c r="AK116" s="558"/>
    </row>
    <row r="117" spans="1:37" ht="12.75" customHeight="1">
      <c r="A117" s="557" t="s">
        <v>620</v>
      </c>
      <c r="B117" s="557"/>
      <c r="C117" s="557"/>
      <c r="D117" s="557"/>
      <c r="E117" s="557"/>
      <c r="F117" s="557"/>
      <c r="G117" s="557"/>
      <c r="H117" s="557"/>
      <c r="I117" s="557"/>
      <c r="J117" s="557"/>
      <c r="K117" s="557"/>
      <c r="L117" s="557"/>
      <c r="M117" s="557"/>
      <c r="N117" s="557"/>
      <c r="O117" s="557"/>
      <c r="P117" s="557"/>
      <c r="Q117" s="557"/>
      <c r="R117" s="557"/>
      <c r="S117" s="557"/>
      <c r="T117" s="557"/>
      <c r="U117" s="557"/>
      <c r="V117" s="557"/>
      <c r="W117" s="557"/>
      <c r="X117" s="557"/>
      <c r="Y117" s="557"/>
      <c r="Z117" s="558">
        <v>104</v>
      </c>
      <c r="AA117" s="558"/>
      <c r="AB117" s="558">
        <v>0</v>
      </c>
      <c r="AC117" s="558"/>
      <c r="AD117" s="558"/>
      <c r="AE117" s="558"/>
      <c r="AF117" s="558"/>
      <c r="AG117" s="558">
        <v>0</v>
      </c>
      <c r="AH117" s="558"/>
      <c r="AI117" s="558"/>
      <c r="AJ117" s="558"/>
      <c r="AK117" s="558"/>
    </row>
    <row r="118" spans="1:37" ht="12.75" customHeight="1">
      <c r="A118" s="557" t="s">
        <v>621</v>
      </c>
      <c r="B118" s="557"/>
      <c r="C118" s="557"/>
      <c r="D118" s="557"/>
      <c r="E118" s="557"/>
      <c r="F118" s="557"/>
      <c r="G118" s="557"/>
      <c r="H118" s="557"/>
      <c r="I118" s="557"/>
      <c r="J118" s="557"/>
      <c r="K118" s="557"/>
      <c r="L118" s="557"/>
      <c r="M118" s="557"/>
      <c r="N118" s="557"/>
      <c r="O118" s="557"/>
      <c r="P118" s="557"/>
      <c r="Q118" s="557"/>
      <c r="R118" s="557"/>
      <c r="S118" s="557"/>
      <c r="T118" s="557"/>
      <c r="U118" s="557"/>
      <c r="V118" s="557"/>
      <c r="W118" s="557"/>
      <c r="X118" s="557"/>
      <c r="Y118" s="557"/>
      <c r="Z118" s="558">
        <v>105</v>
      </c>
      <c r="AA118" s="558"/>
      <c r="AB118" s="558">
        <v>0</v>
      </c>
      <c r="AC118" s="558"/>
      <c r="AD118" s="558"/>
      <c r="AE118" s="558"/>
      <c r="AF118" s="558"/>
      <c r="AG118" s="558">
        <v>0</v>
      </c>
      <c r="AH118" s="558"/>
      <c r="AI118" s="558"/>
      <c r="AJ118" s="558"/>
      <c r="AK118" s="558"/>
    </row>
    <row r="119" spans="1:37" ht="12.75" customHeight="1">
      <c r="A119" s="557" t="s">
        <v>622</v>
      </c>
      <c r="B119" s="557"/>
      <c r="C119" s="557"/>
      <c r="D119" s="557"/>
      <c r="E119" s="557"/>
      <c r="F119" s="557"/>
      <c r="G119" s="557"/>
      <c r="H119" s="557"/>
      <c r="I119" s="557"/>
      <c r="J119" s="557"/>
      <c r="K119" s="557"/>
      <c r="L119" s="557"/>
      <c r="M119" s="557"/>
      <c r="N119" s="557"/>
      <c r="O119" s="557"/>
      <c r="P119" s="557"/>
      <c r="Q119" s="557"/>
      <c r="R119" s="557"/>
      <c r="S119" s="557"/>
      <c r="T119" s="557"/>
      <c r="U119" s="557"/>
      <c r="V119" s="557"/>
      <c r="W119" s="557"/>
      <c r="X119" s="557"/>
      <c r="Y119" s="557"/>
      <c r="Z119" s="558">
        <v>106</v>
      </c>
      <c r="AA119" s="558"/>
      <c r="AB119" s="558">
        <v>0</v>
      </c>
      <c r="AC119" s="558"/>
      <c r="AD119" s="558"/>
      <c r="AE119" s="558"/>
      <c r="AF119" s="558"/>
      <c r="AG119" s="558">
        <v>0</v>
      </c>
      <c r="AH119" s="558"/>
      <c r="AI119" s="558"/>
      <c r="AJ119" s="558"/>
      <c r="AK119" s="558"/>
    </row>
    <row r="120" spans="1:37" ht="12.75" customHeight="1">
      <c r="A120" s="557" t="s">
        <v>623</v>
      </c>
      <c r="B120" s="557"/>
      <c r="C120" s="557"/>
      <c r="D120" s="557"/>
      <c r="E120" s="557"/>
      <c r="F120" s="557"/>
      <c r="G120" s="557"/>
      <c r="H120" s="557"/>
      <c r="I120" s="557"/>
      <c r="J120" s="557"/>
      <c r="K120" s="557"/>
      <c r="L120" s="557"/>
      <c r="M120" s="557"/>
      <c r="N120" s="557"/>
      <c r="O120" s="557"/>
      <c r="P120" s="557"/>
      <c r="Q120" s="557"/>
      <c r="R120" s="557"/>
      <c r="S120" s="557"/>
      <c r="T120" s="557"/>
      <c r="U120" s="557"/>
      <c r="V120" s="557"/>
      <c r="W120" s="557"/>
      <c r="X120" s="557"/>
      <c r="Y120" s="557"/>
      <c r="Z120" s="558">
        <v>107</v>
      </c>
      <c r="AA120" s="558"/>
      <c r="AB120" s="558">
        <v>14027</v>
      </c>
      <c r="AC120" s="558"/>
      <c r="AD120" s="558"/>
      <c r="AE120" s="558"/>
      <c r="AF120" s="558"/>
      <c r="AG120" s="558">
        <v>2593</v>
      </c>
      <c r="AH120" s="558"/>
      <c r="AI120" s="558"/>
      <c r="AJ120" s="558"/>
      <c r="AK120" s="558"/>
    </row>
    <row r="121" spans="1:37" ht="12.75" customHeight="1">
      <c r="A121" s="557" t="s">
        <v>624</v>
      </c>
      <c r="B121" s="557"/>
      <c r="C121" s="557"/>
      <c r="D121" s="557"/>
      <c r="E121" s="557"/>
      <c r="F121" s="557"/>
      <c r="G121" s="557"/>
      <c r="H121" s="557"/>
      <c r="I121" s="557"/>
      <c r="J121" s="557"/>
      <c r="K121" s="557"/>
      <c r="L121" s="557"/>
      <c r="M121" s="557"/>
      <c r="N121" s="557"/>
      <c r="O121" s="557"/>
      <c r="P121" s="557"/>
      <c r="Q121" s="557"/>
      <c r="R121" s="557"/>
      <c r="S121" s="557"/>
      <c r="T121" s="557"/>
      <c r="U121" s="557"/>
      <c r="V121" s="557"/>
      <c r="W121" s="557"/>
      <c r="X121" s="557"/>
      <c r="Y121" s="557"/>
      <c r="Z121" s="558">
        <v>108</v>
      </c>
      <c r="AA121" s="558"/>
      <c r="AB121" s="558">
        <v>7102</v>
      </c>
      <c r="AC121" s="558"/>
      <c r="AD121" s="558"/>
      <c r="AE121" s="558"/>
      <c r="AF121" s="558"/>
      <c r="AG121" s="558">
        <v>1643</v>
      </c>
      <c r="AH121" s="558"/>
      <c r="AI121" s="558"/>
      <c r="AJ121" s="558"/>
      <c r="AK121" s="558"/>
    </row>
    <row r="122" spans="1:37" ht="12.75" customHeight="1">
      <c r="A122" s="557" t="s">
        <v>625</v>
      </c>
      <c r="B122" s="557"/>
      <c r="C122" s="557"/>
      <c r="D122" s="557"/>
      <c r="E122" s="557"/>
      <c r="F122" s="557"/>
      <c r="G122" s="557"/>
      <c r="H122" s="557"/>
      <c r="I122" s="557"/>
      <c r="J122" s="557"/>
      <c r="K122" s="557"/>
      <c r="L122" s="557"/>
      <c r="M122" s="557"/>
      <c r="N122" s="557"/>
      <c r="O122" s="557"/>
      <c r="P122" s="557"/>
      <c r="Q122" s="557"/>
      <c r="R122" s="557"/>
      <c r="S122" s="557"/>
      <c r="T122" s="557"/>
      <c r="U122" s="557"/>
      <c r="V122" s="557"/>
      <c r="W122" s="557"/>
      <c r="X122" s="557"/>
      <c r="Y122" s="557"/>
      <c r="Z122" s="558">
        <v>109</v>
      </c>
      <c r="AA122" s="558"/>
      <c r="AB122" s="558">
        <v>0</v>
      </c>
      <c r="AC122" s="558"/>
      <c r="AD122" s="558"/>
      <c r="AE122" s="558"/>
      <c r="AF122" s="558"/>
      <c r="AG122" s="558">
        <v>0</v>
      </c>
      <c r="AH122" s="558"/>
      <c r="AI122" s="558"/>
      <c r="AJ122" s="558"/>
      <c r="AK122" s="558"/>
    </row>
    <row r="123" spans="1:37" ht="12.75" customHeight="1">
      <c r="A123" s="557" t="s">
        <v>626</v>
      </c>
      <c r="B123" s="557"/>
      <c r="C123" s="557"/>
      <c r="D123" s="557"/>
      <c r="E123" s="557"/>
      <c r="F123" s="557"/>
      <c r="G123" s="557"/>
      <c r="H123" s="557"/>
      <c r="I123" s="557"/>
      <c r="J123" s="557"/>
      <c r="K123" s="557"/>
      <c r="L123" s="557"/>
      <c r="M123" s="557"/>
      <c r="N123" s="557"/>
      <c r="O123" s="557"/>
      <c r="P123" s="557"/>
      <c r="Q123" s="557"/>
      <c r="R123" s="557"/>
      <c r="S123" s="557"/>
      <c r="T123" s="557"/>
      <c r="U123" s="557"/>
      <c r="V123" s="557"/>
      <c r="W123" s="557"/>
      <c r="X123" s="557"/>
      <c r="Y123" s="557"/>
      <c r="Z123" s="558">
        <v>110</v>
      </c>
      <c r="AA123" s="558"/>
      <c r="AB123" s="558">
        <v>0</v>
      </c>
      <c r="AC123" s="558"/>
      <c r="AD123" s="558"/>
      <c r="AE123" s="558"/>
      <c r="AF123" s="558"/>
      <c r="AG123" s="558">
        <v>6740</v>
      </c>
      <c r="AH123" s="558"/>
      <c r="AI123" s="558"/>
      <c r="AJ123" s="558"/>
      <c r="AK123" s="558"/>
    </row>
    <row r="124" spans="1:37" ht="12.75" customHeight="1">
      <c r="A124" s="557" t="s">
        <v>627</v>
      </c>
      <c r="B124" s="557"/>
      <c r="C124" s="557"/>
      <c r="D124" s="557"/>
      <c r="E124" s="557"/>
      <c r="F124" s="557"/>
      <c r="G124" s="557"/>
      <c r="H124" s="557"/>
      <c r="I124" s="557"/>
      <c r="J124" s="557"/>
      <c r="K124" s="557"/>
      <c r="L124" s="557"/>
      <c r="M124" s="557"/>
      <c r="N124" s="557"/>
      <c r="O124" s="557"/>
      <c r="P124" s="557"/>
      <c r="Q124" s="557"/>
      <c r="R124" s="557"/>
      <c r="S124" s="557"/>
      <c r="T124" s="557"/>
      <c r="U124" s="557"/>
      <c r="V124" s="557"/>
      <c r="W124" s="557"/>
      <c r="X124" s="557"/>
      <c r="Y124" s="557"/>
      <c r="Z124" s="558">
        <v>111</v>
      </c>
      <c r="AA124" s="558"/>
      <c r="AB124" s="558">
        <v>0</v>
      </c>
      <c r="AC124" s="558"/>
      <c r="AD124" s="558"/>
      <c r="AE124" s="558"/>
      <c r="AF124" s="558"/>
      <c r="AG124" s="558">
        <v>0</v>
      </c>
      <c r="AH124" s="558"/>
      <c r="AI124" s="558"/>
      <c r="AJ124" s="558"/>
      <c r="AK124" s="558"/>
    </row>
    <row r="125" spans="1:37" ht="12.75" customHeight="1">
      <c r="A125" s="557" t="s">
        <v>628</v>
      </c>
      <c r="B125" s="557"/>
      <c r="C125" s="557"/>
      <c r="D125" s="557"/>
      <c r="E125" s="557"/>
      <c r="F125" s="557"/>
      <c r="G125" s="557"/>
      <c r="H125" s="557"/>
      <c r="I125" s="557"/>
      <c r="J125" s="557"/>
      <c r="K125" s="557"/>
      <c r="L125" s="557"/>
      <c r="M125" s="557"/>
      <c r="N125" s="557"/>
      <c r="O125" s="557"/>
      <c r="P125" s="557"/>
      <c r="Q125" s="557"/>
      <c r="R125" s="557"/>
      <c r="S125" s="557"/>
      <c r="T125" s="557"/>
      <c r="U125" s="557"/>
      <c r="V125" s="557"/>
      <c r="W125" s="557"/>
      <c r="X125" s="557"/>
      <c r="Y125" s="557"/>
      <c r="Z125" s="558">
        <v>112</v>
      </c>
      <c r="AA125" s="558"/>
      <c r="AB125" s="558">
        <v>0</v>
      </c>
      <c r="AC125" s="558"/>
      <c r="AD125" s="558"/>
      <c r="AE125" s="558"/>
      <c r="AF125" s="558"/>
      <c r="AG125" s="558">
        <v>0</v>
      </c>
      <c r="AH125" s="558"/>
      <c r="AI125" s="558"/>
      <c r="AJ125" s="558"/>
      <c r="AK125" s="558"/>
    </row>
    <row r="126" spans="1:37" ht="12.75" customHeight="1">
      <c r="A126" s="562" t="s">
        <v>629</v>
      </c>
      <c r="B126" s="562"/>
      <c r="C126" s="562"/>
      <c r="D126" s="562"/>
      <c r="E126" s="562"/>
      <c r="F126" s="562"/>
      <c r="G126" s="562"/>
      <c r="H126" s="562"/>
      <c r="I126" s="562"/>
      <c r="J126" s="562"/>
      <c r="K126" s="562"/>
      <c r="L126" s="562"/>
      <c r="M126" s="562"/>
      <c r="N126" s="562"/>
      <c r="O126" s="562"/>
      <c r="P126" s="562"/>
      <c r="Q126" s="562"/>
      <c r="R126" s="562"/>
      <c r="S126" s="562"/>
      <c r="T126" s="562"/>
      <c r="U126" s="562"/>
      <c r="V126" s="562"/>
      <c r="W126" s="562"/>
      <c r="X126" s="562"/>
      <c r="Y126" s="562"/>
      <c r="Z126" s="558">
        <v>113</v>
      </c>
      <c r="AA126" s="558"/>
      <c r="AB126" s="558">
        <v>0</v>
      </c>
      <c r="AC126" s="558"/>
      <c r="AD126" s="558"/>
      <c r="AE126" s="558"/>
      <c r="AF126" s="558"/>
      <c r="AG126" s="558"/>
      <c r="AH126" s="558"/>
      <c r="AI126" s="558"/>
      <c r="AJ126" s="558"/>
      <c r="AK126" s="558"/>
    </row>
    <row r="127" spans="1:37" ht="12.75" customHeight="1">
      <c r="A127" s="562" t="s">
        <v>630</v>
      </c>
      <c r="B127" s="562"/>
      <c r="C127" s="562"/>
      <c r="D127" s="562"/>
      <c r="E127" s="562"/>
      <c r="F127" s="562"/>
      <c r="G127" s="562"/>
      <c r="H127" s="562"/>
      <c r="I127" s="562"/>
      <c r="J127" s="562"/>
      <c r="K127" s="562"/>
      <c r="L127" s="562"/>
      <c r="M127" s="562"/>
      <c r="N127" s="562"/>
      <c r="O127" s="562"/>
      <c r="P127" s="562"/>
      <c r="Q127" s="562"/>
      <c r="R127" s="562"/>
      <c r="S127" s="562"/>
      <c r="T127" s="562"/>
      <c r="U127" s="562"/>
      <c r="V127" s="562"/>
      <c r="W127" s="562"/>
      <c r="X127" s="562"/>
      <c r="Y127" s="562"/>
      <c r="Z127" s="558">
        <v>114</v>
      </c>
      <c r="AA127" s="558"/>
      <c r="AB127" s="558">
        <v>0</v>
      </c>
      <c r="AC127" s="558"/>
      <c r="AD127" s="558"/>
      <c r="AE127" s="558"/>
      <c r="AF127" s="558"/>
      <c r="AG127" s="558">
        <v>0</v>
      </c>
      <c r="AH127" s="558"/>
      <c r="AI127" s="558"/>
      <c r="AJ127" s="558"/>
      <c r="AK127" s="558"/>
    </row>
    <row r="128" spans="1:37" ht="12.75" customHeight="1">
      <c r="A128" s="562" t="s">
        <v>631</v>
      </c>
      <c r="B128" s="562"/>
      <c r="C128" s="562"/>
      <c r="D128" s="562"/>
      <c r="E128" s="562"/>
      <c r="F128" s="562"/>
      <c r="G128" s="562"/>
      <c r="H128" s="562"/>
      <c r="I128" s="562"/>
      <c r="J128" s="562"/>
      <c r="K128" s="562"/>
      <c r="L128" s="562"/>
      <c r="M128" s="562"/>
      <c r="N128" s="562"/>
      <c r="O128" s="562"/>
      <c r="P128" s="562"/>
      <c r="Q128" s="562"/>
      <c r="R128" s="562"/>
      <c r="S128" s="562"/>
      <c r="T128" s="562"/>
      <c r="U128" s="562"/>
      <c r="V128" s="562"/>
      <c r="W128" s="562"/>
      <c r="X128" s="562"/>
      <c r="Y128" s="562"/>
      <c r="Z128" s="558">
        <v>115</v>
      </c>
      <c r="AA128" s="558"/>
      <c r="AB128" s="558">
        <v>0</v>
      </c>
      <c r="AC128" s="558"/>
      <c r="AD128" s="558"/>
      <c r="AE128" s="558"/>
      <c r="AF128" s="558"/>
      <c r="AG128" s="558">
        <v>0</v>
      </c>
      <c r="AH128" s="558"/>
      <c r="AI128" s="558"/>
      <c r="AJ128" s="558"/>
      <c r="AK128" s="558"/>
    </row>
    <row r="129" spans="1:37" ht="12.75" customHeight="1">
      <c r="A129" s="562" t="s">
        <v>632</v>
      </c>
      <c r="B129" s="562"/>
      <c r="C129" s="562"/>
      <c r="D129" s="562"/>
      <c r="E129" s="562"/>
      <c r="F129" s="562"/>
      <c r="G129" s="562"/>
      <c r="H129" s="562"/>
      <c r="I129" s="562"/>
      <c r="J129" s="562"/>
      <c r="K129" s="562"/>
      <c r="L129" s="562"/>
      <c r="M129" s="562"/>
      <c r="N129" s="562"/>
      <c r="O129" s="562"/>
      <c r="P129" s="562"/>
      <c r="Q129" s="562"/>
      <c r="R129" s="562"/>
      <c r="S129" s="562"/>
      <c r="T129" s="562"/>
      <c r="U129" s="562"/>
      <c r="V129" s="562"/>
      <c r="W129" s="562"/>
      <c r="X129" s="562"/>
      <c r="Y129" s="562"/>
      <c r="Z129" s="558">
        <v>116</v>
      </c>
      <c r="AA129" s="558"/>
      <c r="AB129" s="558">
        <v>6406</v>
      </c>
      <c r="AC129" s="558"/>
      <c r="AD129" s="558"/>
      <c r="AE129" s="558"/>
      <c r="AF129" s="558"/>
      <c r="AG129" s="558">
        <v>6450</v>
      </c>
      <c r="AH129" s="558"/>
      <c r="AI129" s="558"/>
      <c r="AJ129" s="558"/>
      <c r="AK129" s="558"/>
    </row>
    <row r="130" spans="1:37" ht="12.75" customHeight="1">
      <c r="A130" s="562" t="s">
        <v>633</v>
      </c>
      <c r="B130" s="562"/>
      <c r="C130" s="562"/>
      <c r="D130" s="562"/>
      <c r="E130" s="562"/>
      <c r="F130" s="562"/>
      <c r="G130" s="562"/>
      <c r="H130" s="562"/>
      <c r="I130" s="562"/>
      <c r="J130" s="562"/>
      <c r="K130" s="562"/>
      <c r="L130" s="562"/>
      <c r="M130" s="562"/>
      <c r="N130" s="562"/>
      <c r="O130" s="562"/>
      <c r="P130" s="562"/>
      <c r="Q130" s="562"/>
      <c r="R130" s="562"/>
      <c r="S130" s="562"/>
      <c r="T130" s="562"/>
      <c r="U130" s="562"/>
      <c r="V130" s="562"/>
      <c r="W130" s="562"/>
      <c r="X130" s="562"/>
      <c r="Y130" s="562"/>
      <c r="Z130" s="558">
        <v>117</v>
      </c>
      <c r="AA130" s="558"/>
      <c r="AB130" s="558">
        <v>27747</v>
      </c>
      <c r="AC130" s="558"/>
      <c r="AD130" s="558"/>
      <c r="AE130" s="558"/>
      <c r="AF130" s="558"/>
      <c r="AG130" s="558"/>
      <c r="AH130" s="558"/>
      <c r="AI130" s="558"/>
      <c r="AJ130" s="558"/>
      <c r="AK130" s="558"/>
    </row>
    <row r="131" spans="1:37" ht="12.75" customHeight="1">
      <c r="A131" s="557" t="s">
        <v>634</v>
      </c>
      <c r="B131" s="557"/>
      <c r="C131" s="557"/>
      <c r="D131" s="557"/>
      <c r="E131" s="557"/>
      <c r="F131" s="557"/>
      <c r="G131" s="557"/>
      <c r="H131" s="557"/>
      <c r="I131" s="557"/>
      <c r="J131" s="557"/>
      <c r="K131" s="557"/>
      <c r="L131" s="557"/>
      <c r="M131" s="557"/>
      <c r="N131" s="557"/>
      <c r="O131" s="557"/>
      <c r="P131" s="557"/>
      <c r="Q131" s="557"/>
      <c r="R131" s="557"/>
      <c r="S131" s="557"/>
      <c r="T131" s="557"/>
      <c r="U131" s="557"/>
      <c r="V131" s="557"/>
      <c r="W131" s="557"/>
      <c r="X131" s="557"/>
      <c r="Y131" s="557"/>
      <c r="Z131" s="558">
        <v>118</v>
      </c>
      <c r="AA131" s="558"/>
      <c r="AB131" s="558">
        <v>0</v>
      </c>
      <c r="AC131" s="558"/>
      <c r="AD131" s="558"/>
      <c r="AE131" s="558"/>
      <c r="AF131" s="558"/>
      <c r="AG131" s="558">
        <v>0</v>
      </c>
      <c r="AH131" s="558"/>
      <c r="AI131" s="558"/>
      <c r="AJ131" s="558"/>
      <c r="AK131" s="558"/>
    </row>
    <row r="132" spans="1:37" ht="12.75" customHeight="1">
      <c r="A132" s="557" t="s">
        <v>635</v>
      </c>
      <c r="B132" s="557"/>
      <c r="C132" s="557"/>
      <c r="D132" s="557"/>
      <c r="E132" s="557"/>
      <c r="F132" s="557"/>
      <c r="G132" s="557"/>
      <c r="H132" s="557"/>
      <c r="I132" s="557"/>
      <c r="J132" s="557"/>
      <c r="K132" s="557"/>
      <c r="L132" s="557"/>
      <c r="M132" s="557"/>
      <c r="N132" s="557"/>
      <c r="O132" s="557"/>
      <c r="P132" s="557"/>
      <c r="Q132" s="557"/>
      <c r="R132" s="557"/>
      <c r="S132" s="557"/>
      <c r="T132" s="557"/>
      <c r="U132" s="557"/>
      <c r="V132" s="557"/>
      <c r="W132" s="557"/>
      <c r="X132" s="557"/>
      <c r="Y132" s="557"/>
      <c r="Z132" s="558">
        <v>119</v>
      </c>
      <c r="AA132" s="558"/>
      <c r="AB132" s="558">
        <v>1567</v>
      </c>
      <c r="AC132" s="558"/>
      <c r="AD132" s="558"/>
      <c r="AE132" s="558"/>
      <c r="AF132" s="558"/>
      <c r="AG132" s="558">
        <v>33</v>
      </c>
      <c r="AH132" s="558"/>
      <c r="AI132" s="558"/>
      <c r="AJ132" s="558"/>
      <c r="AK132" s="558"/>
    </row>
    <row r="133" spans="1:37" ht="12.75" customHeight="1">
      <c r="A133" s="557" t="s">
        <v>636</v>
      </c>
      <c r="B133" s="557"/>
      <c r="C133" s="557"/>
      <c r="D133" s="557"/>
      <c r="E133" s="557"/>
      <c r="F133" s="557"/>
      <c r="G133" s="557"/>
      <c r="H133" s="557"/>
      <c r="I133" s="557"/>
      <c r="J133" s="557"/>
      <c r="K133" s="557"/>
      <c r="L133" s="557"/>
      <c r="M133" s="557"/>
      <c r="N133" s="557"/>
      <c r="O133" s="557"/>
      <c r="P133" s="557"/>
      <c r="Q133" s="557"/>
      <c r="R133" s="557"/>
      <c r="S133" s="557"/>
      <c r="T133" s="557"/>
      <c r="U133" s="557"/>
      <c r="V133" s="557"/>
      <c r="W133" s="557"/>
      <c r="X133" s="557"/>
      <c r="Y133" s="557"/>
      <c r="Z133" s="558">
        <v>120</v>
      </c>
      <c r="AA133" s="558"/>
      <c r="AB133" s="558">
        <v>418</v>
      </c>
      <c r="AC133" s="558"/>
      <c r="AD133" s="558"/>
      <c r="AE133" s="558"/>
      <c r="AF133" s="558"/>
      <c r="AG133" s="558">
        <v>1354</v>
      </c>
      <c r="AH133" s="558"/>
      <c r="AI133" s="558"/>
      <c r="AJ133" s="558"/>
      <c r="AK133" s="558"/>
    </row>
    <row r="134" spans="1:37" ht="12.75" customHeight="1">
      <c r="A134" s="557" t="s">
        <v>637</v>
      </c>
      <c r="B134" s="557"/>
      <c r="C134" s="557"/>
      <c r="D134" s="557"/>
      <c r="E134" s="557"/>
      <c r="F134" s="557"/>
      <c r="G134" s="557"/>
      <c r="H134" s="557"/>
      <c r="I134" s="557"/>
      <c r="J134" s="557"/>
      <c r="K134" s="557"/>
      <c r="L134" s="557"/>
      <c r="M134" s="557"/>
      <c r="N134" s="557"/>
      <c r="O134" s="557"/>
      <c r="P134" s="557"/>
      <c r="Q134" s="557"/>
      <c r="R134" s="557"/>
      <c r="S134" s="557"/>
      <c r="T134" s="557"/>
      <c r="U134" s="557"/>
      <c r="V134" s="557"/>
      <c r="W134" s="557"/>
      <c r="X134" s="557"/>
      <c r="Y134" s="557"/>
      <c r="Z134" s="558">
        <v>121</v>
      </c>
      <c r="AA134" s="558"/>
      <c r="AB134" s="558">
        <v>0</v>
      </c>
      <c r="AC134" s="558"/>
      <c r="AD134" s="558"/>
      <c r="AE134" s="558"/>
      <c r="AF134" s="558"/>
      <c r="AG134" s="558">
        <v>0</v>
      </c>
      <c r="AH134" s="558"/>
      <c r="AI134" s="558"/>
      <c r="AJ134" s="558"/>
      <c r="AK134" s="558"/>
    </row>
    <row r="135" spans="1:37" ht="12.75" customHeight="1">
      <c r="A135" s="559" t="s">
        <v>901</v>
      </c>
      <c r="B135" s="559"/>
      <c r="C135" s="559"/>
      <c r="D135" s="559"/>
      <c r="E135" s="559"/>
      <c r="F135" s="559"/>
      <c r="G135" s="559"/>
      <c r="H135" s="559"/>
      <c r="I135" s="559"/>
      <c r="J135" s="559"/>
      <c r="K135" s="559"/>
      <c r="L135" s="559"/>
      <c r="M135" s="559"/>
      <c r="N135" s="559"/>
      <c r="O135" s="559"/>
      <c r="P135" s="559"/>
      <c r="Q135" s="559"/>
      <c r="R135" s="559"/>
      <c r="S135" s="559"/>
      <c r="T135" s="559"/>
      <c r="U135" s="559"/>
      <c r="V135" s="559"/>
      <c r="W135" s="559"/>
      <c r="X135" s="559"/>
      <c r="Y135" s="559"/>
      <c r="Z135" s="560">
        <v>122</v>
      </c>
      <c r="AA135" s="560"/>
      <c r="AB135" s="560">
        <v>93950</v>
      </c>
      <c r="AC135" s="560"/>
      <c r="AD135" s="560"/>
      <c r="AE135" s="560"/>
      <c r="AF135" s="560"/>
      <c r="AG135" s="560">
        <f>AG112+AG113+AG116</f>
        <v>125220</v>
      </c>
      <c r="AH135" s="560"/>
      <c r="AI135" s="560"/>
      <c r="AJ135" s="560"/>
      <c r="AK135" s="560"/>
    </row>
    <row r="136" spans="1:37" ht="12.75" customHeight="1">
      <c r="A136" s="557" t="s">
        <v>639</v>
      </c>
      <c r="B136" s="557"/>
      <c r="C136" s="557"/>
      <c r="D136" s="557"/>
      <c r="E136" s="557"/>
      <c r="F136" s="557"/>
      <c r="G136" s="557"/>
      <c r="H136" s="557"/>
      <c r="I136" s="557"/>
      <c r="J136" s="557"/>
      <c r="K136" s="557"/>
      <c r="L136" s="557"/>
      <c r="M136" s="557"/>
      <c r="N136" s="557"/>
      <c r="O136" s="557"/>
      <c r="P136" s="557"/>
      <c r="Q136" s="557"/>
      <c r="R136" s="557"/>
      <c r="S136" s="557"/>
      <c r="T136" s="557"/>
      <c r="U136" s="557"/>
      <c r="V136" s="557"/>
      <c r="W136" s="557"/>
      <c r="X136" s="557"/>
      <c r="Y136" s="557"/>
      <c r="Z136" s="558">
        <v>123</v>
      </c>
      <c r="AA136" s="558"/>
      <c r="AB136" s="558">
        <v>4751</v>
      </c>
      <c r="AC136" s="558"/>
      <c r="AD136" s="558"/>
      <c r="AE136" s="558"/>
      <c r="AF136" s="558"/>
      <c r="AG136" s="558">
        <v>4174</v>
      </c>
      <c r="AH136" s="558"/>
      <c r="AI136" s="558"/>
      <c r="AJ136" s="558"/>
      <c r="AK136" s="558"/>
    </row>
    <row r="137" spans="1:37" ht="12.75" customHeight="1">
      <c r="A137" s="557" t="s">
        <v>640</v>
      </c>
      <c r="B137" s="557"/>
      <c r="C137" s="557"/>
      <c r="D137" s="557"/>
      <c r="E137" s="557"/>
      <c r="F137" s="557"/>
      <c r="G137" s="557"/>
      <c r="H137" s="557"/>
      <c r="I137" s="557"/>
      <c r="J137" s="557"/>
      <c r="K137" s="557"/>
      <c r="L137" s="557"/>
      <c r="M137" s="557"/>
      <c r="N137" s="557"/>
      <c r="O137" s="557"/>
      <c r="P137" s="557"/>
      <c r="Q137" s="557"/>
      <c r="R137" s="557"/>
      <c r="S137" s="557"/>
      <c r="T137" s="557"/>
      <c r="U137" s="557"/>
      <c r="V137" s="557"/>
      <c r="W137" s="557"/>
      <c r="X137" s="557"/>
      <c r="Y137" s="557"/>
      <c r="Z137" s="558">
        <v>124</v>
      </c>
      <c r="AA137" s="558"/>
      <c r="AB137" s="558">
        <v>0</v>
      </c>
      <c r="AC137" s="558"/>
      <c r="AD137" s="558"/>
      <c r="AE137" s="558"/>
      <c r="AF137" s="558"/>
      <c r="AG137" s="558">
        <v>0</v>
      </c>
      <c r="AH137" s="558"/>
      <c r="AI137" s="558"/>
      <c r="AJ137" s="558"/>
      <c r="AK137" s="558"/>
    </row>
    <row r="138" spans="1:37" ht="12.75" customHeight="1">
      <c r="A138" s="557" t="s">
        <v>641</v>
      </c>
      <c r="B138" s="557"/>
      <c r="C138" s="557"/>
      <c r="D138" s="557"/>
      <c r="E138" s="557"/>
      <c r="F138" s="557"/>
      <c r="G138" s="557"/>
      <c r="H138" s="557"/>
      <c r="I138" s="557"/>
      <c r="J138" s="557"/>
      <c r="K138" s="557"/>
      <c r="L138" s="557"/>
      <c r="M138" s="557"/>
      <c r="N138" s="557"/>
      <c r="O138" s="557"/>
      <c r="P138" s="557"/>
      <c r="Q138" s="557"/>
      <c r="R138" s="557"/>
      <c r="S138" s="557"/>
      <c r="T138" s="557"/>
      <c r="U138" s="557"/>
      <c r="V138" s="557"/>
      <c r="W138" s="557"/>
      <c r="X138" s="557"/>
      <c r="Y138" s="557"/>
      <c r="Z138" s="558">
        <v>125</v>
      </c>
      <c r="AA138" s="558"/>
      <c r="AB138" s="558">
        <v>39549</v>
      </c>
      <c r="AC138" s="558"/>
      <c r="AD138" s="558"/>
      <c r="AE138" s="558"/>
      <c r="AF138" s="558"/>
      <c r="AG138" s="558">
        <v>36326</v>
      </c>
      <c r="AH138" s="558"/>
      <c r="AI138" s="558"/>
      <c r="AJ138" s="558"/>
      <c r="AK138" s="558"/>
    </row>
    <row r="139" spans="1:37" ht="12.75" customHeight="1">
      <c r="A139" s="557" t="s">
        <v>642</v>
      </c>
      <c r="B139" s="557"/>
      <c r="C139" s="557"/>
      <c r="D139" s="557"/>
      <c r="E139" s="557"/>
      <c r="F139" s="557"/>
      <c r="G139" s="557"/>
      <c r="H139" s="557"/>
      <c r="I139" s="557"/>
      <c r="J139" s="557"/>
      <c r="K139" s="557"/>
      <c r="L139" s="557"/>
      <c r="M139" s="557"/>
      <c r="N139" s="557"/>
      <c r="O139" s="557"/>
      <c r="P139" s="557"/>
      <c r="Q139" s="557"/>
      <c r="R139" s="557"/>
      <c r="S139" s="557"/>
      <c r="T139" s="557"/>
      <c r="U139" s="557"/>
      <c r="V139" s="557"/>
      <c r="W139" s="557"/>
      <c r="X139" s="557"/>
      <c r="Y139" s="557"/>
      <c r="Z139" s="558">
        <v>126</v>
      </c>
      <c r="AA139" s="558"/>
      <c r="AB139" s="558">
        <v>69</v>
      </c>
      <c r="AC139" s="558"/>
      <c r="AD139" s="558"/>
      <c r="AE139" s="558"/>
      <c r="AF139" s="558"/>
      <c r="AG139" s="558">
        <v>119</v>
      </c>
      <c r="AH139" s="558"/>
      <c r="AI139" s="558"/>
      <c r="AJ139" s="558"/>
      <c r="AK139" s="558"/>
    </row>
    <row r="140" spans="1:37" ht="12.75" customHeight="1">
      <c r="A140" s="557" t="s">
        <v>643</v>
      </c>
      <c r="B140" s="557"/>
      <c r="C140" s="557"/>
      <c r="D140" s="557"/>
      <c r="E140" s="557"/>
      <c r="F140" s="557"/>
      <c r="G140" s="557"/>
      <c r="H140" s="557"/>
      <c r="I140" s="557"/>
      <c r="J140" s="557"/>
      <c r="K140" s="557"/>
      <c r="L140" s="557"/>
      <c r="M140" s="557"/>
      <c r="N140" s="557"/>
      <c r="O140" s="557"/>
      <c r="P140" s="557"/>
      <c r="Q140" s="557"/>
      <c r="R140" s="557"/>
      <c r="S140" s="557"/>
      <c r="T140" s="557"/>
      <c r="U140" s="557"/>
      <c r="V140" s="557"/>
      <c r="W140" s="557"/>
      <c r="X140" s="557"/>
      <c r="Y140" s="557"/>
      <c r="Z140" s="558">
        <v>127</v>
      </c>
      <c r="AA140" s="558"/>
      <c r="AB140" s="558">
        <v>0</v>
      </c>
      <c r="AC140" s="558"/>
      <c r="AD140" s="558"/>
      <c r="AE140" s="558"/>
      <c r="AF140" s="558"/>
      <c r="AG140" s="558">
        <v>0</v>
      </c>
      <c r="AH140" s="558"/>
      <c r="AI140" s="558"/>
      <c r="AJ140" s="558"/>
      <c r="AK140" s="558"/>
    </row>
    <row r="141" spans="1:37" ht="12.75" customHeight="1">
      <c r="A141" s="557" t="s">
        <v>644</v>
      </c>
      <c r="B141" s="557"/>
      <c r="C141" s="557"/>
      <c r="D141" s="557"/>
      <c r="E141" s="557"/>
      <c r="F141" s="557"/>
      <c r="G141" s="557"/>
      <c r="H141" s="557"/>
      <c r="I141" s="557"/>
      <c r="J141" s="557"/>
      <c r="K141" s="557"/>
      <c r="L141" s="557"/>
      <c r="M141" s="557"/>
      <c r="N141" s="557"/>
      <c r="O141" s="557"/>
      <c r="P141" s="557"/>
      <c r="Q141" s="557"/>
      <c r="R141" s="557"/>
      <c r="S141" s="557"/>
      <c r="T141" s="557"/>
      <c r="U141" s="557"/>
      <c r="V141" s="557"/>
      <c r="W141" s="557"/>
      <c r="X141" s="557"/>
      <c r="Y141" s="557"/>
      <c r="Z141" s="558">
        <v>128</v>
      </c>
      <c r="AA141" s="558"/>
      <c r="AB141" s="558">
        <v>0</v>
      </c>
      <c r="AC141" s="558"/>
      <c r="AD141" s="558"/>
      <c r="AE141" s="558"/>
      <c r="AF141" s="558"/>
      <c r="AG141" s="558">
        <v>0</v>
      </c>
      <c r="AH141" s="558"/>
      <c r="AI141" s="558"/>
      <c r="AJ141" s="558"/>
      <c r="AK141" s="558"/>
    </row>
    <row r="142" spans="1:37" ht="12.75" customHeight="1">
      <c r="A142" s="559" t="s">
        <v>902</v>
      </c>
      <c r="B142" s="559"/>
      <c r="C142" s="559"/>
      <c r="D142" s="559"/>
      <c r="E142" s="559"/>
      <c r="F142" s="559"/>
      <c r="G142" s="559"/>
      <c r="H142" s="559"/>
      <c r="I142" s="559"/>
      <c r="J142" s="559"/>
      <c r="K142" s="559"/>
      <c r="L142" s="559"/>
      <c r="M142" s="559"/>
      <c r="N142" s="559"/>
      <c r="O142" s="559"/>
      <c r="P142" s="559"/>
      <c r="Q142" s="559"/>
      <c r="R142" s="559"/>
      <c r="S142" s="559"/>
      <c r="T142" s="559"/>
      <c r="U142" s="559"/>
      <c r="V142" s="559"/>
      <c r="W142" s="559"/>
      <c r="X142" s="559"/>
      <c r="Y142" s="559"/>
      <c r="Z142" s="560">
        <v>129</v>
      </c>
      <c r="AA142" s="560"/>
      <c r="AB142" s="560">
        <v>44369</v>
      </c>
      <c r="AC142" s="560"/>
      <c r="AD142" s="560"/>
      <c r="AE142" s="560"/>
      <c r="AF142" s="560"/>
      <c r="AG142" s="560">
        <f>SUM(AG136:AK141)</f>
        <v>40619</v>
      </c>
      <c r="AH142" s="560"/>
      <c r="AI142" s="560"/>
      <c r="AJ142" s="560"/>
      <c r="AK142" s="560"/>
    </row>
    <row r="143" spans="1:37" ht="12.75" customHeight="1">
      <c r="A143" s="559" t="s">
        <v>903</v>
      </c>
      <c r="B143" s="559"/>
      <c r="C143" s="559"/>
      <c r="D143" s="559"/>
      <c r="E143" s="559"/>
      <c r="F143" s="559"/>
      <c r="G143" s="559"/>
      <c r="H143" s="559"/>
      <c r="I143" s="559"/>
      <c r="J143" s="559"/>
      <c r="K143" s="559"/>
      <c r="L143" s="559"/>
      <c r="M143" s="559"/>
      <c r="N143" s="559"/>
      <c r="O143" s="559"/>
      <c r="P143" s="559"/>
      <c r="Q143" s="559"/>
      <c r="R143" s="559"/>
      <c r="S143" s="559"/>
      <c r="T143" s="559"/>
      <c r="U143" s="559"/>
      <c r="V143" s="559"/>
      <c r="W143" s="559"/>
      <c r="X143" s="559"/>
      <c r="Y143" s="559"/>
      <c r="Z143" s="560">
        <v>130</v>
      </c>
      <c r="AA143" s="560"/>
      <c r="AB143" s="560">
        <v>567467</v>
      </c>
      <c r="AC143" s="560"/>
      <c r="AD143" s="560"/>
      <c r="AE143" s="560"/>
      <c r="AF143" s="560"/>
      <c r="AG143" s="560">
        <f>AG110+AG135+AG142</f>
        <v>596998</v>
      </c>
      <c r="AH143" s="560"/>
      <c r="AI143" s="560"/>
      <c r="AJ143" s="560"/>
      <c r="AK143" s="560"/>
    </row>
    <row r="144" spans="1:37" ht="12.75" customHeight="1">
      <c r="A144" s="559" t="s">
        <v>647</v>
      </c>
      <c r="B144" s="559"/>
      <c r="C144" s="559"/>
      <c r="D144" s="559"/>
      <c r="E144" s="559"/>
      <c r="F144" s="559"/>
      <c r="G144" s="559"/>
      <c r="H144" s="559"/>
      <c r="I144" s="559"/>
      <c r="J144" s="559"/>
      <c r="K144" s="559"/>
      <c r="L144" s="559"/>
      <c r="M144" s="559"/>
      <c r="N144" s="559"/>
      <c r="O144" s="559"/>
      <c r="P144" s="559"/>
      <c r="Q144" s="559"/>
      <c r="R144" s="559"/>
      <c r="S144" s="559"/>
      <c r="T144" s="559"/>
      <c r="U144" s="559"/>
      <c r="V144" s="559"/>
      <c r="W144" s="559"/>
      <c r="X144" s="559"/>
      <c r="Y144" s="559"/>
      <c r="Z144" s="560">
        <v>131</v>
      </c>
      <c r="AA144" s="560"/>
      <c r="AB144" s="560">
        <v>2228058</v>
      </c>
      <c r="AC144" s="560"/>
      <c r="AD144" s="560"/>
      <c r="AE144" s="560"/>
      <c r="AF144" s="560"/>
      <c r="AG144" s="560">
        <f>AG87+AG95+AG143</f>
        <v>2176674</v>
      </c>
      <c r="AH144" s="560"/>
      <c r="AI144" s="560"/>
      <c r="AJ144" s="560"/>
      <c r="AK144" s="560"/>
    </row>
    <row r="145" spans="1:25" ht="12.75">
      <c r="A145" s="563"/>
      <c r="B145" s="564"/>
      <c r="C145" s="564"/>
      <c r="D145" s="564"/>
      <c r="E145" s="564"/>
      <c r="F145" s="564"/>
      <c r="G145" s="564"/>
      <c r="H145" s="564"/>
      <c r="I145" s="564"/>
      <c r="J145" s="564"/>
      <c r="K145" s="564"/>
      <c r="L145" s="564"/>
      <c r="M145" s="564"/>
      <c r="N145" s="564"/>
      <c r="O145" s="564"/>
      <c r="P145" s="564"/>
      <c r="Q145" s="564"/>
      <c r="R145" s="564"/>
      <c r="S145" s="564"/>
      <c r="T145" s="564"/>
      <c r="U145" s="564"/>
      <c r="V145" s="564"/>
      <c r="W145" s="564"/>
      <c r="X145" s="564"/>
      <c r="Y145" s="564"/>
    </row>
    <row r="146" spans="1:25" ht="12.75">
      <c r="A146" s="563"/>
      <c r="B146" s="564"/>
      <c r="C146" s="564"/>
      <c r="D146" s="564"/>
      <c r="E146" s="564"/>
      <c r="F146" s="564"/>
      <c r="G146" s="564"/>
      <c r="H146" s="564"/>
      <c r="I146" s="564"/>
      <c r="J146" s="564"/>
      <c r="K146" s="564"/>
      <c r="L146" s="564"/>
      <c r="M146" s="564"/>
      <c r="N146" s="564"/>
      <c r="O146" s="564"/>
      <c r="P146" s="564"/>
      <c r="Q146" s="564"/>
      <c r="R146" s="564"/>
      <c r="S146" s="564"/>
      <c r="T146" s="564"/>
      <c r="U146" s="564"/>
      <c r="V146" s="564"/>
      <c r="W146" s="564"/>
      <c r="X146" s="564"/>
      <c r="Y146" s="564"/>
    </row>
  </sheetData>
  <sheetProtection selectLockedCells="1" selectUnlockedCells="1"/>
  <mergeCells count="547">
    <mergeCell ref="A1:AK1"/>
    <mergeCell ref="AB3:AJ3"/>
    <mergeCell ref="U5:Z5"/>
    <mergeCell ref="AE5:AK5"/>
    <mergeCell ref="AF7:AK7"/>
    <mergeCell ref="A8:Y9"/>
    <mergeCell ref="Z8:AA9"/>
    <mergeCell ref="AB8:AF8"/>
    <mergeCell ref="AG8:AK8"/>
    <mergeCell ref="AB9:AK9"/>
    <mergeCell ref="A10:Y10"/>
    <mergeCell ref="Z10:AA10"/>
    <mergeCell ref="AB10:AF10"/>
    <mergeCell ref="AG10:AK10"/>
    <mergeCell ref="A11:Y11"/>
    <mergeCell ref="Z11:AA11"/>
    <mergeCell ref="AB11:AF11"/>
    <mergeCell ref="AG11:AK11"/>
    <mergeCell ref="A12:Y12"/>
    <mergeCell ref="Z12:AA12"/>
    <mergeCell ref="AB12:AF12"/>
    <mergeCell ref="AG12:AK12"/>
    <mergeCell ref="A13:Y13"/>
    <mergeCell ref="Z13:AA13"/>
    <mergeCell ref="AB13:AF13"/>
    <mergeCell ref="AG13:AK13"/>
    <mergeCell ref="A14:Y14"/>
    <mergeCell ref="Z14:AA14"/>
    <mergeCell ref="AB14:AF14"/>
    <mergeCell ref="AG14:AK14"/>
    <mergeCell ref="A15:Y15"/>
    <mergeCell ref="Z15:AA15"/>
    <mergeCell ref="AB15:AF15"/>
    <mergeCell ref="AG15:AK15"/>
    <mergeCell ref="A16:Y16"/>
    <mergeCell ref="Z16:AA16"/>
    <mergeCell ref="AB16:AF16"/>
    <mergeCell ref="AG16:AK16"/>
    <mergeCell ref="A17:Y17"/>
    <mergeCell ref="Z17:AA17"/>
    <mergeCell ref="AB17:AF17"/>
    <mergeCell ref="AG17:AK17"/>
    <mergeCell ref="A18:Y18"/>
    <mergeCell ref="Z18:AA18"/>
    <mergeCell ref="AB18:AF18"/>
    <mergeCell ref="AG18:AK18"/>
    <mergeCell ref="A19:Y19"/>
    <mergeCell ref="Z19:AA19"/>
    <mergeCell ref="AB19:AF19"/>
    <mergeCell ref="AG19:AK19"/>
    <mergeCell ref="A20:Y20"/>
    <mergeCell ref="Z20:AA20"/>
    <mergeCell ref="AB20:AF20"/>
    <mergeCell ref="AG20:AK20"/>
    <mergeCell ref="A21:Y21"/>
    <mergeCell ref="Z21:AA21"/>
    <mergeCell ref="AB21:AF21"/>
    <mergeCell ref="AG21:AK21"/>
    <mergeCell ref="A22:Y22"/>
    <mergeCell ref="Z22:AA22"/>
    <mergeCell ref="AB22:AF22"/>
    <mergeCell ref="AG22:AK22"/>
    <mergeCell ref="A23:Y23"/>
    <mergeCell ref="Z23:AA23"/>
    <mergeCell ref="AB23:AF23"/>
    <mergeCell ref="AG23:AK23"/>
    <mergeCell ref="A24:Y24"/>
    <mergeCell ref="Z24:AA24"/>
    <mergeCell ref="AB24:AF24"/>
    <mergeCell ref="AG24:AK24"/>
    <mergeCell ref="A25:Y25"/>
    <mergeCell ref="Z25:AA25"/>
    <mergeCell ref="AB25:AF25"/>
    <mergeCell ref="AG25:AK25"/>
    <mergeCell ref="A26:Y26"/>
    <mergeCell ref="Z26:AA26"/>
    <mergeCell ref="AB26:AF26"/>
    <mergeCell ref="AG26:AK26"/>
    <mergeCell ref="A27:Y27"/>
    <mergeCell ref="Z27:AA27"/>
    <mergeCell ref="AB27:AF27"/>
    <mergeCell ref="AG27:AK27"/>
    <mergeCell ref="A28:Y28"/>
    <mergeCell ref="Z28:AA28"/>
    <mergeCell ref="AB28:AF28"/>
    <mergeCell ref="AG28:AK28"/>
    <mergeCell ref="A29:Y29"/>
    <mergeCell ref="Z29:AA29"/>
    <mergeCell ref="AB29:AF29"/>
    <mergeCell ref="AG29:AK29"/>
    <mergeCell ref="A30:Y30"/>
    <mergeCell ref="Z30:AA30"/>
    <mergeCell ref="AB30:AF30"/>
    <mergeCell ref="AG30:AK30"/>
    <mergeCell ref="A31:Y31"/>
    <mergeCell ref="Z31:AA31"/>
    <mergeCell ref="AB31:AF31"/>
    <mergeCell ref="AG31:AK31"/>
    <mergeCell ref="A32:Y32"/>
    <mergeCell ref="Z32:AA32"/>
    <mergeCell ref="AB32:AF32"/>
    <mergeCell ref="AG32:AK32"/>
    <mergeCell ref="A33:Y33"/>
    <mergeCell ref="Z33:AA33"/>
    <mergeCell ref="AB33:AF33"/>
    <mergeCell ref="AG33:AK33"/>
    <mergeCell ref="A34:Y34"/>
    <mergeCell ref="Z34:AA34"/>
    <mergeCell ref="AB34:AF34"/>
    <mergeCell ref="AG34:AK34"/>
    <mergeCell ref="A35:Y35"/>
    <mergeCell ref="Z35:AA35"/>
    <mergeCell ref="AB35:AF35"/>
    <mergeCell ref="AG35:AK35"/>
    <mergeCell ref="A36:Y36"/>
    <mergeCell ref="Z36:AA36"/>
    <mergeCell ref="AB36:AF36"/>
    <mergeCell ref="AG36:AK36"/>
    <mergeCell ref="A37:Y37"/>
    <mergeCell ref="Z37:AA37"/>
    <mergeCell ref="AB37:AF37"/>
    <mergeCell ref="AG37:AK37"/>
    <mergeCell ref="A38:Y38"/>
    <mergeCell ref="Z38:AA38"/>
    <mergeCell ref="AB38:AF38"/>
    <mergeCell ref="AG38:AK38"/>
    <mergeCell ref="A39:Y39"/>
    <mergeCell ref="Z39:AA39"/>
    <mergeCell ref="AB39:AF39"/>
    <mergeCell ref="AG39:AK39"/>
    <mergeCell ref="A40:Y40"/>
    <mergeCell ref="Z40:AA40"/>
    <mergeCell ref="AB40:AF40"/>
    <mergeCell ref="AG40:AK40"/>
    <mergeCell ref="A41:Y41"/>
    <mergeCell ref="Z41:AA41"/>
    <mergeCell ref="AB41:AF41"/>
    <mergeCell ref="AG41:AK41"/>
    <mergeCell ref="A42:Y42"/>
    <mergeCell ref="Z42:AA42"/>
    <mergeCell ref="AB42:AF42"/>
    <mergeCell ref="AG42:AK42"/>
    <mergeCell ref="A43:Y43"/>
    <mergeCell ref="Z43:AA43"/>
    <mergeCell ref="AB43:AF43"/>
    <mergeCell ref="AG43:AK43"/>
    <mergeCell ref="A44:Y44"/>
    <mergeCell ref="Z44:AA44"/>
    <mergeCell ref="AB44:AF44"/>
    <mergeCell ref="AG44:AK44"/>
    <mergeCell ref="A45:Y45"/>
    <mergeCell ref="Z45:AA45"/>
    <mergeCell ref="AB45:AF45"/>
    <mergeCell ref="AG45:AK45"/>
    <mergeCell ref="A46:Y46"/>
    <mergeCell ref="Z46:AA46"/>
    <mergeCell ref="AB46:AF46"/>
    <mergeCell ref="AG46:AK46"/>
    <mergeCell ref="A47:Y47"/>
    <mergeCell ref="Z47:AA47"/>
    <mergeCell ref="AB47:AF47"/>
    <mergeCell ref="AG47:AK47"/>
    <mergeCell ref="A48:Y48"/>
    <mergeCell ref="Z48:AA48"/>
    <mergeCell ref="AB48:AF48"/>
    <mergeCell ref="AG48:AK48"/>
    <mergeCell ref="A49:Y49"/>
    <mergeCell ref="Z49:AA49"/>
    <mergeCell ref="AB49:AF49"/>
    <mergeCell ref="AG49:AK49"/>
    <mergeCell ref="A50:Y50"/>
    <mergeCell ref="Z50:AA50"/>
    <mergeCell ref="AB50:AF50"/>
    <mergeCell ref="AG50:AK50"/>
    <mergeCell ref="A51:Y51"/>
    <mergeCell ref="Z51:AA51"/>
    <mergeCell ref="AB51:AF51"/>
    <mergeCell ref="AG51:AK51"/>
    <mergeCell ref="A52:Y52"/>
    <mergeCell ref="Z52:AA52"/>
    <mergeCell ref="AB52:AF52"/>
    <mergeCell ref="AG52:AK52"/>
    <mergeCell ref="A53:Y53"/>
    <mergeCell ref="Z53:AA53"/>
    <mergeCell ref="AB53:AF53"/>
    <mergeCell ref="AG53:AK53"/>
    <mergeCell ref="A54:Y54"/>
    <mergeCell ref="Z54:AA54"/>
    <mergeCell ref="AB54:AF54"/>
    <mergeCell ref="AG54:AK54"/>
    <mergeCell ref="A55:Y55"/>
    <mergeCell ref="Z55:AA55"/>
    <mergeCell ref="AB55:AF55"/>
    <mergeCell ref="AG55:AK55"/>
    <mergeCell ref="A56:Y56"/>
    <mergeCell ref="Z56:AA56"/>
    <mergeCell ref="AB56:AF56"/>
    <mergeCell ref="AG56:AK56"/>
    <mergeCell ref="A57:Y57"/>
    <mergeCell ref="Z57:AA57"/>
    <mergeCell ref="AB57:AF57"/>
    <mergeCell ref="AG57:AK57"/>
    <mergeCell ref="A58:Y58"/>
    <mergeCell ref="Z58:AA58"/>
    <mergeCell ref="AB58:AF58"/>
    <mergeCell ref="AG58:AK58"/>
    <mergeCell ref="A59:Y59"/>
    <mergeCell ref="Z59:AA59"/>
    <mergeCell ref="AB59:AF59"/>
    <mergeCell ref="AG59:AK59"/>
    <mergeCell ref="A60:Y60"/>
    <mergeCell ref="Z60:AA60"/>
    <mergeCell ref="AB60:AF60"/>
    <mergeCell ref="AG60:AK60"/>
    <mergeCell ref="A61:Y61"/>
    <mergeCell ref="Z61:AA61"/>
    <mergeCell ref="AB61:AF61"/>
    <mergeCell ref="AG61:AK61"/>
    <mergeCell ref="A62:Y62"/>
    <mergeCell ref="Z62:AA62"/>
    <mergeCell ref="AB62:AF62"/>
    <mergeCell ref="AG62:AK62"/>
    <mergeCell ref="A63:Y63"/>
    <mergeCell ref="Z63:AA63"/>
    <mergeCell ref="AB63:AF63"/>
    <mergeCell ref="AG63:AK63"/>
    <mergeCell ref="A64:Y64"/>
    <mergeCell ref="Z64:AA64"/>
    <mergeCell ref="AB64:AF64"/>
    <mergeCell ref="AG64:AK64"/>
    <mergeCell ref="A65:Y65"/>
    <mergeCell ref="Z65:AA65"/>
    <mergeCell ref="AB65:AF65"/>
    <mergeCell ref="AG65:AK65"/>
    <mergeCell ref="A66:Y66"/>
    <mergeCell ref="Z66:AA66"/>
    <mergeCell ref="AB66:AF66"/>
    <mergeCell ref="AG66:AK66"/>
    <mergeCell ref="A67:Y67"/>
    <mergeCell ref="Z67:AA67"/>
    <mergeCell ref="AB67:AF67"/>
    <mergeCell ref="AG67:AK67"/>
    <mergeCell ref="A68:Y68"/>
    <mergeCell ref="Z68:AA68"/>
    <mergeCell ref="AB68:AF68"/>
    <mergeCell ref="AG68:AK68"/>
    <mergeCell ref="A69:Y69"/>
    <mergeCell ref="Z69:AA69"/>
    <mergeCell ref="AB69:AF69"/>
    <mergeCell ref="AG69:AK69"/>
    <mergeCell ref="A70:Y70"/>
    <mergeCell ref="Z70:AA70"/>
    <mergeCell ref="AB70:AF70"/>
    <mergeCell ref="AG70:AK70"/>
    <mergeCell ref="A71:Y71"/>
    <mergeCell ref="Z71:AA71"/>
    <mergeCell ref="AB71:AF71"/>
    <mergeCell ref="AG71:AK71"/>
    <mergeCell ref="A72:Y72"/>
    <mergeCell ref="Z72:AA72"/>
    <mergeCell ref="AB72:AF72"/>
    <mergeCell ref="AG72:AK72"/>
    <mergeCell ref="A73:Y73"/>
    <mergeCell ref="Z73:AA73"/>
    <mergeCell ref="AB73:AF73"/>
    <mergeCell ref="AG73:AK73"/>
    <mergeCell ref="A74:Y74"/>
    <mergeCell ref="Z74:AA74"/>
    <mergeCell ref="AB74:AF74"/>
    <mergeCell ref="AG74:AK74"/>
    <mergeCell ref="A75:Y75"/>
    <mergeCell ref="Z75:AA75"/>
    <mergeCell ref="AB75:AF75"/>
    <mergeCell ref="AG75:AK75"/>
    <mergeCell ref="A76:Y76"/>
    <mergeCell ref="Z76:AA76"/>
    <mergeCell ref="AB76:AF76"/>
    <mergeCell ref="AG76:AK76"/>
    <mergeCell ref="A77:Y77"/>
    <mergeCell ref="Z77:AA77"/>
    <mergeCell ref="AB77:AF77"/>
    <mergeCell ref="AG77:AK77"/>
    <mergeCell ref="A78:Y78"/>
    <mergeCell ref="Z78:AA78"/>
    <mergeCell ref="AB78:AF78"/>
    <mergeCell ref="AG78:AK78"/>
    <mergeCell ref="A79:Y79"/>
    <mergeCell ref="Z79:AA79"/>
    <mergeCell ref="AB79:AF79"/>
    <mergeCell ref="AG79:AK79"/>
    <mergeCell ref="A80:Y80"/>
    <mergeCell ref="Z80:AA80"/>
    <mergeCell ref="AB80:AF80"/>
    <mergeCell ref="AG80:AK80"/>
    <mergeCell ref="A81:Y82"/>
    <mergeCell ref="Z81:AA82"/>
    <mergeCell ref="AB81:AF81"/>
    <mergeCell ref="AG81:AK81"/>
    <mergeCell ref="AB82:AK82"/>
    <mergeCell ref="A83:Y83"/>
    <mergeCell ref="Z83:AA83"/>
    <mergeCell ref="AB83:AF83"/>
    <mergeCell ref="AG83:AK83"/>
    <mergeCell ref="A84:Y84"/>
    <mergeCell ref="Z84:AA84"/>
    <mergeCell ref="AB84:AF84"/>
    <mergeCell ref="AG84:AK84"/>
    <mergeCell ref="A85:Y85"/>
    <mergeCell ref="Z85:AA85"/>
    <mergeCell ref="AB85:AF85"/>
    <mergeCell ref="AG85:AK85"/>
    <mergeCell ref="A86:Y86"/>
    <mergeCell ref="Z86:AA86"/>
    <mergeCell ref="AB86:AF86"/>
    <mergeCell ref="AG86:AK86"/>
    <mergeCell ref="A87:Y87"/>
    <mergeCell ref="Z87:AA87"/>
    <mergeCell ref="AB87:AF87"/>
    <mergeCell ref="AG87:AK87"/>
    <mergeCell ref="A88:Y88"/>
    <mergeCell ref="Z88:AA88"/>
    <mergeCell ref="AB88:AF88"/>
    <mergeCell ref="AG88:AK88"/>
    <mergeCell ref="A89:Y89"/>
    <mergeCell ref="Z89:AA89"/>
    <mergeCell ref="AB89:AF89"/>
    <mergeCell ref="AG89:AK89"/>
    <mergeCell ref="A90:Y90"/>
    <mergeCell ref="Z90:AA90"/>
    <mergeCell ref="AB90:AF90"/>
    <mergeCell ref="AG90:AK90"/>
    <mergeCell ref="A91:Y91"/>
    <mergeCell ref="Z91:AA91"/>
    <mergeCell ref="AB91:AF91"/>
    <mergeCell ref="AG91:AK91"/>
    <mergeCell ref="A92:Y92"/>
    <mergeCell ref="Z92:AA92"/>
    <mergeCell ref="AB92:AF92"/>
    <mergeCell ref="AG92:AK92"/>
    <mergeCell ref="A93:Y93"/>
    <mergeCell ref="Z93:AA93"/>
    <mergeCell ref="AB93:AF93"/>
    <mergeCell ref="AG93:AK93"/>
    <mergeCell ref="A94:Y94"/>
    <mergeCell ref="Z94:AA94"/>
    <mergeCell ref="AB94:AF94"/>
    <mergeCell ref="AG94:AK94"/>
    <mergeCell ref="A95:Y95"/>
    <mergeCell ref="Z95:AA95"/>
    <mergeCell ref="AB95:AF95"/>
    <mergeCell ref="AG95:AK95"/>
    <mergeCell ref="A96:Y96"/>
    <mergeCell ref="Z96:AA96"/>
    <mergeCell ref="AB96:AF96"/>
    <mergeCell ref="AG96:AK96"/>
    <mergeCell ref="A97:Y97"/>
    <mergeCell ref="Z97:AA97"/>
    <mergeCell ref="AB97:AF97"/>
    <mergeCell ref="AG97:AK97"/>
    <mergeCell ref="A98:Y98"/>
    <mergeCell ref="Z98:AA98"/>
    <mergeCell ref="AB98:AF98"/>
    <mergeCell ref="AG98:AK98"/>
    <mergeCell ref="A99:Y99"/>
    <mergeCell ref="Z99:AA99"/>
    <mergeCell ref="AB99:AF99"/>
    <mergeCell ref="AG99:AK99"/>
    <mergeCell ref="A100:Y100"/>
    <mergeCell ref="Z100:AA100"/>
    <mergeCell ref="AB100:AF100"/>
    <mergeCell ref="AG100:AK100"/>
    <mergeCell ref="A101:Y101"/>
    <mergeCell ref="Z101:AA101"/>
    <mergeCell ref="AB101:AF101"/>
    <mergeCell ref="AG101:AK101"/>
    <mergeCell ref="A102:Y102"/>
    <mergeCell ref="Z102:AA102"/>
    <mergeCell ref="AB102:AF102"/>
    <mergeCell ref="AG102:AK102"/>
    <mergeCell ref="A103:Y103"/>
    <mergeCell ref="Z103:AA103"/>
    <mergeCell ref="AB103:AF103"/>
    <mergeCell ref="AG103:AK103"/>
    <mergeCell ref="A104:Y104"/>
    <mergeCell ref="Z104:AA104"/>
    <mergeCell ref="AB104:AF104"/>
    <mergeCell ref="AG104:AK104"/>
    <mergeCell ref="A105:Y105"/>
    <mergeCell ref="Z105:AA105"/>
    <mergeCell ref="AB105:AF105"/>
    <mergeCell ref="AG105:AK105"/>
    <mergeCell ref="A106:Y106"/>
    <mergeCell ref="Z106:AA106"/>
    <mergeCell ref="AB106:AF106"/>
    <mergeCell ref="AG106:AK106"/>
    <mergeCell ref="A107:Y107"/>
    <mergeCell ref="Z107:AA107"/>
    <mergeCell ref="AB107:AF107"/>
    <mergeCell ref="AG107:AK107"/>
    <mergeCell ref="A108:Y108"/>
    <mergeCell ref="Z108:AA108"/>
    <mergeCell ref="AB108:AF108"/>
    <mergeCell ref="AG108:AK108"/>
    <mergeCell ref="A109:Y109"/>
    <mergeCell ref="Z109:AA109"/>
    <mergeCell ref="AB109:AF109"/>
    <mergeCell ref="AG109:AK109"/>
    <mergeCell ref="A110:Y110"/>
    <mergeCell ref="Z110:AA110"/>
    <mergeCell ref="AB110:AF110"/>
    <mergeCell ref="AG110:AK110"/>
    <mergeCell ref="A111:Y111"/>
    <mergeCell ref="Z111:AA111"/>
    <mergeCell ref="AB111:AF111"/>
    <mergeCell ref="AG111:AK111"/>
    <mergeCell ref="A112:Y112"/>
    <mergeCell ref="Z112:AA112"/>
    <mergeCell ref="AB112:AF112"/>
    <mergeCell ref="AG112:AK112"/>
    <mergeCell ref="A113:Y113"/>
    <mergeCell ref="Z113:AA113"/>
    <mergeCell ref="AB113:AF113"/>
    <mergeCell ref="AG113:AK113"/>
    <mergeCell ref="A114:Y114"/>
    <mergeCell ref="Z114:AA114"/>
    <mergeCell ref="AB114:AF114"/>
    <mergeCell ref="AG114:AK114"/>
    <mergeCell ref="A115:Y115"/>
    <mergeCell ref="Z115:AA115"/>
    <mergeCell ref="AB115:AF115"/>
    <mergeCell ref="AG115:AK115"/>
    <mergeCell ref="A116:Y116"/>
    <mergeCell ref="Z116:AA116"/>
    <mergeCell ref="AB116:AF116"/>
    <mergeCell ref="AG116:AK116"/>
    <mergeCell ref="A117:Y117"/>
    <mergeCell ref="Z117:AA117"/>
    <mergeCell ref="AB117:AF117"/>
    <mergeCell ref="AG117:AK117"/>
    <mergeCell ref="A118:Y118"/>
    <mergeCell ref="Z118:AA118"/>
    <mergeCell ref="AB118:AF118"/>
    <mergeCell ref="AG118:AK118"/>
    <mergeCell ref="A119:Y119"/>
    <mergeCell ref="Z119:AA119"/>
    <mergeCell ref="AB119:AF119"/>
    <mergeCell ref="AG119:AK119"/>
    <mergeCell ref="A120:Y120"/>
    <mergeCell ref="Z120:AA120"/>
    <mergeCell ref="AB120:AF120"/>
    <mergeCell ref="AG120:AK120"/>
    <mergeCell ref="A121:Y121"/>
    <mergeCell ref="Z121:AA121"/>
    <mergeCell ref="AB121:AF121"/>
    <mergeCell ref="AG121:AK121"/>
    <mergeCell ref="A122:Y122"/>
    <mergeCell ref="Z122:AA122"/>
    <mergeCell ref="AB122:AF122"/>
    <mergeCell ref="AG122:AK122"/>
    <mergeCell ref="A123:Y123"/>
    <mergeCell ref="Z123:AA123"/>
    <mergeCell ref="AB123:AF123"/>
    <mergeCell ref="AG123:AK123"/>
    <mergeCell ref="A124:Y124"/>
    <mergeCell ref="Z124:AA124"/>
    <mergeCell ref="AB124:AF124"/>
    <mergeCell ref="AG124:AK124"/>
    <mergeCell ref="A125:Y125"/>
    <mergeCell ref="Z125:AA125"/>
    <mergeCell ref="AB125:AF125"/>
    <mergeCell ref="AG125:AK125"/>
    <mergeCell ref="A126:Y126"/>
    <mergeCell ref="Z126:AA126"/>
    <mergeCell ref="AB126:AF126"/>
    <mergeCell ref="AG126:AK126"/>
    <mergeCell ref="A127:Y127"/>
    <mergeCell ref="Z127:AA127"/>
    <mergeCell ref="AB127:AF127"/>
    <mergeCell ref="AG127:AK127"/>
    <mergeCell ref="A128:Y128"/>
    <mergeCell ref="Z128:AA128"/>
    <mergeCell ref="AB128:AF128"/>
    <mergeCell ref="AG128:AK128"/>
    <mergeCell ref="A129:Y129"/>
    <mergeCell ref="Z129:AA129"/>
    <mergeCell ref="AB129:AF129"/>
    <mergeCell ref="AG129:AK129"/>
    <mergeCell ref="A130:Y130"/>
    <mergeCell ref="Z130:AA130"/>
    <mergeCell ref="AB130:AF130"/>
    <mergeCell ref="AG130:AK130"/>
    <mergeCell ref="A131:Y131"/>
    <mergeCell ref="Z131:AA131"/>
    <mergeCell ref="AB131:AF131"/>
    <mergeCell ref="AG131:AK131"/>
    <mergeCell ref="A132:Y132"/>
    <mergeCell ref="Z132:AA132"/>
    <mergeCell ref="AB132:AF132"/>
    <mergeCell ref="AG132:AK132"/>
    <mergeCell ref="A133:Y133"/>
    <mergeCell ref="Z133:AA133"/>
    <mergeCell ref="AB133:AF133"/>
    <mergeCell ref="AG133:AK133"/>
    <mergeCell ref="A134:Y134"/>
    <mergeCell ref="Z134:AA134"/>
    <mergeCell ref="AB134:AF134"/>
    <mergeCell ref="AG134:AK134"/>
    <mergeCell ref="A135:Y135"/>
    <mergeCell ref="Z135:AA135"/>
    <mergeCell ref="AB135:AF135"/>
    <mergeCell ref="AG135:AK135"/>
    <mergeCell ref="A136:Y136"/>
    <mergeCell ref="Z136:AA136"/>
    <mergeCell ref="AB136:AF136"/>
    <mergeCell ref="AG136:AK136"/>
    <mergeCell ref="A137:Y137"/>
    <mergeCell ref="Z137:AA137"/>
    <mergeCell ref="AB137:AF137"/>
    <mergeCell ref="AG137:AK137"/>
    <mergeCell ref="A138:Y138"/>
    <mergeCell ref="Z138:AA138"/>
    <mergeCell ref="AB138:AF138"/>
    <mergeCell ref="AG138:AK138"/>
    <mergeCell ref="A139:Y139"/>
    <mergeCell ref="Z139:AA139"/>
    <mergeCell ref="AB139:AF139"/>
    <mergeCell ref="AG139:AK139"/>
    <mergeCell ref="A140:Y140"/>
    <mergeCell ref="Z140:AA140"/>
    <mergeCell ref="AB140:AF140"/>
    <mergeCell ref="AG140:AK140"/>
    <mergeCell ref="A141:Y141"/>
    <mergeCell ref="Z141:AA141"/>
    <mergeCell ref="AB141:AF141"/>
    <mergeCell ref="AG141:AK141"/>
    <mergeCell ref="A142:Y142"/>
    <mergeCell ref="Z142:AA142"/>
    <mergeCell ref="AB142:AF142"/>
    <mergeCell ref="AG142:AK142"/>
    <mergeCell ref="A143:Y143"/>
    <mergeCell ref="Z143:AA143"/>
    <mergeCell ref="AB143:AF143"/>
    <mergeCell ref="AG143:AK143"/>
    <mergeCell ref="A144:Y144"/>
    <mergeCell ref="Z144:AA144"/>
    <mergeCell ref="AB144:AF144"/>
    <mergeCell ref="AG144:AK144"/>
  </mergeCells>
  <printOptions/>
  <pageMargins left="0.7479166666666667" right="0.7479166666666667" top="0.9840277777777777" bottom="0.9840277777777777" header="0.5" footer="0.5"/>
  <pageSetup horizontalDpi="300" verticalDpi="300" orientation="portrait" paperSize="9" scale="55"/>
  <headerFooter alignWithMargins="0">
    <oddHeader>&amp;L&amp;12Vámospércs Városi Önkormányzat&amp;R&amp;"Arial,Dőlt"&amp;12 5. számú tájékoztató tábla</oddHeader>
    <oddFooter>&amp;C&amp;P. oldal</oddFooter>
  </headerFooter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21"/>
  <sheetViews>
    <sheetView workbookViewId="0" topLeftCell="C1">
      <selection activeCell="K140" sqref="K140"/>
    </sheetView>
  </sheetViews>
  <sheetFormatPr defaultColWidth="9.140625" defaultRowHeight="12.75"/>
  <cols>
    <col min="1" max="1" width="6.57421875" style="0" customWidth="1"/>
    <col min="2" max="2" width="32.421875" style="0" customWidth="1"/>
    <col min="3" max="5" width="9.421875" style="0" customWidth="1"/>
    <col min="6" max="6" width="7.8515625" style="0" customWidth="1"/>
    <col min="7" max="7" width="6.57421875" style="0" customWidth="1"/>
    <col min="8" max="8" width="32.421875" style="0" customWidth="1"/>
    <col min="9" max="11" width="9.421875" style="0" customWidth="1"/>
    <col min="12" max="12" width="7.8515625" style="0" customWidth="1"/>
  </cols>
  <sheetData>
    <row r="1" spans="1:12" ht="12.75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 t="s">
        <v>42</v>
      </c>
      <c r="B3" s="21"/>
      <c r="C3" s="22"/>
      <c r="D3" s="22"/>
      <c r="E3" s="22"/>
      <c r="F3" s="23"/>
      <c r="G3" s="21"/>
      <c r="H3" s="21"/>
      <c r="I3" s="24" t="s">
        <v>43</v>
      </c>
      <c r="J3" s="24"/>
      <c r="K3" s="24"/>
      <c r="L3" s="24"/>
    </row>
    <row r="4" spans="1:12" ht="12.75" customHeight="1">
      <c r="A4" s="25" t="s">
        <v>44</v>
      </c>
      <c r="B4" s="26" t="s">
        <v>45</v>
      </c>
      <c r="C4" s="27" t="s">
        <v>46</v>
      </c>
      <c r="D4" s="27" t="s">
        <v>47</v>
      </c>
      <c r="E4" s="27" t="s">
        <v>48</v>
      </c>
      <c r="F4" s="28" t="s">
        <v>49</v>
      </c>
      <c r="G4" s="25" t="s">
        <v>44</v>
      </c>
      <c r="H4" s="26" t="s">
        <v>50</v>
      </c>
      <c r="I4" s="27" t="s">
        <v>46</v>
      </c>
      <c r="J4" s="27" t="s">
        <v>47</v>
      </c>
      <c r="K4" s="27" t="s">
        <v>48</v>
      </c>
      <c r="L4" s="28" t="s">
        <v>49</v>
      </c>
    </row>
    <row r="5" spans="1:12" ht="12.75" customHeight="1">
      <c r="A5" s="25"/>
      <c r="B5" s="26"/>
      <c r="C5" s="27"/>
      <c r="D5" s="27"/>
      <c r="E5" s="27"/>
      <c r="F5" s="28"/>
      <c r="G5" s="25"/>
      <c r="H5" s="26"/>
      <c r="I5" s="27"/>
      <c r="J5" s="27"/>
      <c r="K5" s="27"/>
      <c r="L5" s="28"/>
    </row>
    <row r="6" spans="1:12" ht="12.75">
      <c r="A6" s="25"/>
      <c r="B6" s="26"/>
      <c r="C6" s="27"/>
      <c r="D6" s="27"/>
      <c r="E6" s="27"/>
      <c r="F6" s="28"/>
      <c r="G6" s="25"/>
      <c r="H6" s="26"/>
      <c r="I6" s="27"/>
      <c r="J6" s="27"/>
      <c r="K6" s="27"/>
      <c r="L6" s="28"/>
    </row>
    <row r="7" spans="1:12" ht="12.75">
      <c r="A7" s="29" t="s">
        <v>51</v>
      </c>
      <c r="B7" s="29" t="s">
        <v>52</v>
      </c>
      <c r="C7" s="30"/>
      <c r="D7" s="30"/>
      <c r="E7" s="30"/>
      <c r="F7" s="31"/>
      <c r="G7" s="29"/>
      <c r="H7" s="29" t="s">
        <v>53</v>
      </c>
      <c r="I7" s="30">
        <f>SUM(I8:I11,I18,I19)</f>
        <v>1150143</v>
      </c>
      <c r="J7" s="30">
        <f>SUM(J8:J11,J18,J19)</f>
        <v>1224762</v>
      </c>
      <c r="K7" s="30">
        <f>SUM(K8:K11,K18,K19)</f>
        <v>1156445</v>
      </c>
      <c r="L7" s="32">
        <f>K7/J7*100</f>
        <v>94.42201831866109</v>
      </c>
    </row>
    <row r="8" spans="1:12" ht="12.75">
      <c r="A8" s="33" t="s">
        <v>1</v>
      </c>
      <c r="B8" s="34" t="s">
        <v>54</v>
      </c>
      <c r="C8" s="35">
        <f>SUM(C51+C93)</f>
        <v>56599</v>
      </c>
      <c r="D8" s="35">
        <f>SUM(D51+D93)</f>
        <v>60949</v>
      </c>
      <c r="E8" s="35">
        <f>SUM(E51+E93)</f>
        <v>60759</v>
      </c>
      <c r="F8" s="32">
        <f>E8/D8*100</f>
        <v>99.68826395839145</v>
      </c>
      <c r="G8" s="29" t="s">
        <v>51</v>
      </c>
      <c r="H8" s="29" t="s">
        <v>55</v>
      </c>
      <c r="I8" s="36">
        <f>SUM(I51+I93)</f>
        <v>487860</v>
      </c>
      <c r="J8" s="36">
        <f aca="true" t="shared" si="0" ref="J8:K10">SUM(J51+J93)</f>
        <v>495467</v>
      </c>
      <c r="K8" s="36">
        <f t="shared" si="0"/>
        <v>485644</v>
      </c>
      <c r="L8" s="32">
        <f>K8/J8*100</f>
        <v>98.01742598397067</v>
      </c>
    </row>
    <row r="9" spans="1:12" ht="12.75">
      <c r="A9" s="33" t="s">
        <v>3</v>
      </c>
      <c r="B9" s="34" t="s">
        <v>56</v>
      </c>
      <c r="C9" s="35">
        <f>SUM(C10:C12)</f>
        <v>281420</v>
      </c>
      <c r="D9" s="35">
        <f>SUM(D10:D12)</f>
        <v>292906</v>
      </c>
      <c r="E9" s="35">
        <f aca="true" t="shared" si="1" ref="E9:E22">SUM(E52+E94)</f>
        <v>293173</v>
      </c>
      <c r="F9" s="32">
        <f aca="true" t="shared" si="2" ref="F9:F43">E9/D9*100</f>
        <v>100.0911555242979</v>
      </c>
      <c r="G9" s="29" t="s">
        <v>57</v>
      </c>
      <c r="H9" s="29" t="s">
        <v>58</v>
      </c>
      <c r="I9" s="36">
        <f>SUM(I52+I94)</f>
        <v>151657</v>
      </c>
      <c r="J9" s="36">
        <f t="shared" si="0"/>
        <v>148531</v>
      </c>
      <c r="K9" s="36">
        <f t="shared" si="0"/>
        <v>146779</v>
      </c>
      <c r="L9" s="32">
        <f aca="true" t="shared" si="3" ref="L9:L40">K9/J9*100</f>
        <v>98.8204482565929</v>
      </c>
    </row>
    <row r="10" spans="1:12" ht="12.75">
      <c r="A10" s="37" t="s">
        <v>59</v>
      </c>
      <c r="B10" s="38" t="s">
        <v>60</v>
      </c>
      <c r="C10" s="36">
        <f aca="true" t="shared" si="4" ref="C10:D12">SUM(C53+C95)</f>
        <v>66800</v>
      </c>
      <c r="D10" s="36">
        <f t="shared" si="4"/>
        <v>82300</v>
      </c>
      <c r="E10" s="35">
        <f t="shared" si="1"/>
        <v>82585</v>
      </c>
      <c r="F10" s="32">
        <f t="shared" si="2"/>
        <v>100.34629404617255</v>
      </c>
      <c r="G10" s="29" t="s">
        <v>61</v>
      </c>
      <c r="H10" s="29" t="s">
        <v>62</v>
      </c>
      <c r="I10" s="36">
        <f>SUM(I53+I95)</f>
        <v>235346</v>
      </c>
      <c r="J10" s="36">
        <f t="shared" si="0"/>
        <v>267359</v>
      </c>
      <c r="K10" s="36">
        <f t="shared" si="0"/>
        <v>254316</v>
      </c>
      <c r="L10" s="32">
        <f t="shared" si="3"/>
        <v>95.12154069995773</v>
      </c>
    </row>
    <row r="11" spans="1:12" ht="12.75">
      <c r="A11" s="37" t="s">
        <v>63</v>
      </c>
      <c r="B11" s="38" t="s">
        <v>64</v>
      </c>
      <c r="C11" s="36">
        <f t="shared" si="4"/>
        <v>211620</v>
      </c>
      <c r="D11" s="36">
        <f t="shared" si="4"/>
        <v>208406</v>
      </c>
      <c r="E11" s="35">
        <f t="shared" si="1"/>
        <v>208569</v>
      </c>
      <c r="F11" s="32">
        <f t="shared" si="2"/>
        <v>100.07821271940347</v>
      </c>
      <c r="G11" s="29" t="s">
        <v>65</v>
      </c>
      <c r="H11" s="29" t="s">
        <v>66</v>
      </c>
      <c r="I11" s="36">
        <f>SUM(I12:I16)</f>
        <v>207419</v>
      </c>
      <c r="J11" s="36">
        <f>SUM(J12:J16)</f>
        <v>245499</v>
      </c>
      <c r="K11" s="36">
        <f>SUM(K54+K96)</f>
        <v>241959</v>
      </c>
      <c r="L11" s="32">
        <f t="shared" si="3"/>
        <v>98.5580389329488</v>
      </c>
    </row>
    <row r="12" spans="1:12" ht="12.75">
      <c r="A12" s="37" t="s">
        <v>67</v>
      </c>
      <c r="B12" s="38" t="s">
        <v>68</v>
      </c>
      <c r="C12" s="36">
        <f t="shared" si="4"/>
        <v>3000</v>
      </c>
      <c r="D12" s="36">
        <f t="shared" si="4"/>
        <v>2200</v>
      </c>
      <c r="E12" s="35">
        <f t="shared" si="1"/>
        <v>2019</v>
      </c>
      <c r="F12" s="32">
        <f t="shared" si="2"/>
        <v>91.77272727272727</v>
      </c>
      <c r="G12" s="33" t="s">
        <v>1</v>
      </c>
      <c r="H12" s="38" t="s">
        <v>69</v>
      </c>
      <c r="I12" s="36">
        <f aca="true" t="shared" si="5" ref="I12:K21">SUM(I55+I97)</f>
        <v>20676</v>
      </c>
      <c r="J12" s="36">
        <f t="shared" si="5"/>
        <v>28836</v>
      </c>
      <c r="K12" s="36">
        <f>SUM(K55+K97)</f>
        <v>28715</v>
      </c>
      <c r="L12" s="32">
        <f t="shared" si="3"/>
        <v>99.58038562907477</v>
      </c>
    </row>
    <row r="13" spans="1:12" ht="12.75">
      <c r="A13" s="39" t="s">
        <v>70</v>
      </c>
      <c r="B13" s="29" t="s">
        <v>71</v>
      </c>
      <c r="C13" s="36"/>
      <c r="D13" s="36"/>
      <c r="E13" s="35">
        <f t="shared" si="1"/>
        <v>0</v>
      </c>
      <c r="F13" s="32"/>
      <c r="G13" s="33" t="s">
        <v>3</v>
      </c>
      <c r="H13" s="38" t="s">
        <v>72</v>
      </c>
      <c r="I13" s="36">
        <f t="shared" si="5"/>
        <v>13972</v>
      </c>
      <c r="J13" s="36">
        <f t="shared" si="5"/>
        <v>13413</v>
      </c>
      <c r="K13" s="36">
        <f t="shared" si="5"/>
        <v>11286</v>
      </c>
      <c r="L13" s="32">
        <f t="shared" si="3"/>
        <v>84.1422500559159</v>
      </c>
    </row>
    <row r="14" spans="1:12" ht="12.75">
      <c r="A14" s="33" t="s">
        <v>1</v>
      </c>
      <c r="B14" s="34" t="s">
        <v>73</v>
      </c>
      <c r="C14" s="35">
        <f>SUM(C15:C17)</f>
        <v>608307</v>
      </c>
      <c r="D14" s="35">
        <f>SUM(D15:D17)</f>
        <v>666669</v>
      </c>
      <c r="E14" s="35">
        <f t="shared" si="1"/>
        <v>669591</v>
      </c>
      <c r="F14" s="32">
        <f t="shared" si="2"/>
        <v>100.43829846595538</v>
      </c>
      <c r="G14" s="33" t="s">
        <v>5</v>
      </c>
      <c r="H14" s="38" t="s">
        <v>74</v>
      </c>
      <c r="I14" s="36">
        <f t="shared" si="5"/>
        <v>166245</v>
      </c>
      <c r="J14" s="36">
        <f t="shared" si="5"/>
        <v>193637</v>
      </c>
      <c r="K14" s="36">
        <f t="shared" si="5"/>
        <v>191505</v>
      </c>
      <c r="L14" s="32">
        <f t="shared" si="3"/>
        <v>98.8989707545562</v>
      </c>
    </row>
    <row r="15" spans="1:12" ht="12.75">
      <c r="A15" s="33" t="s">
        <v>75</v>
      </c>
      <c r="B15" s="38" t="s">
        <v>76</v>
      </c>
      <c r="C15" s="36">
        <f aca="true" t="shared" si="6" ref="C15:D19">SUM(C58+C100)</f>
        <v>415163</v>
      </c>
      <c r="D15" s="36">
        <f t="shared" si="6"/>
        <v>390845</v>
      </c>
      <c r="E15" s="35">
        <f t="shared" si="1"/>
        <v>390845</v>
      </c>
      <c r="F15" s="32">
        <f t="shared" si="2"/>
        <v>100</v>
      </c>
      <c r="G15" s="33" t="s">
        <v>7</v>
      </c>
      <c r="H15" s="38" t="s">
        <v>77</v>
      </c>
      <c r="I15" s="36">
        <f t="shared" si="5"/>
        <v>252</v>
      </c>
      <c r="J15" s="36">
        <f t="shared" si="5"/>
        <v>3339</v>
      </c>
      <c r="K15" s="36">
        <f t="shared" si="5"/>
        <v>3494</v>
      </c>
      <c r="L15" s="32">
        <f t="shared" si="3"/>
        <v>104.64210841569333</v>
      </c>
    </row>
    <row r="16" spans="1:12" ht="12.75">
      <c r="A16" s="33" t="s">
        <v>78</v>
      </c>
      <c r="B16" s="38" t="s">
        <v>79</v>
      </c>
      <c r="C16" s="36">
        <f t="shared" si="6"/>
        <v>882</v>
      </c>
      <c r="D16" s="36">
        <f t="shared" si="6"/>
        <v>94115</v>
      </c>
      <c r="E16" s="35">
        <f t="shared" si="1"/>
        <v>97037</v>
      </c>
      <c r="F16" s="32">
        <f t="shared" si="2"/>
        <v>103.104712320034</v>
      </c>
      <c r="G16" s="33" t="s">
        <v>11</v>
      </c>
      <c r="H16" s="38" t="s">
        <v>80</v>
      </c>
      <c r="I16" s="36">
        <f t="shared" si="5"/>
        <v>6274</v>
      </c>
      <c r="J16" s="36">
        <f t="shared" si="5"/>
        <v>6274</v>
      </c>
      <c r="K16" s="36">
        <f t="shared" si="5"/>
        <v>6959</v>
      </c>
      <c r="L16" s="32">
        <f t="shared" si="3"/>
        <v>110.91807459356073</v>
      </c>
    </row>
    <row r="17" spans="1:12" ht="12.75">
      <c r="A17" s="33" t="s">
        <v>81</v>
      </c>
      <c r="B17" s="38" t="s">
        <v>82</v>
      </c>
      <c r="C17" s="36">
        <f t="shared" si="6"/>
        <v>192262</v>
      </c>
      <c r="D17" s="36">
        <f t="shared" si="6"/>
        <v>181709</v>
      </c>
      <c r="E17" s="35">
        <f t="shared" si="1"/>
        <v>181709</v>
      </c>
      <c r="F17" s="32">
        <f t="shared" si="2"/>
        <v>100</v>
      </c>
      <c r="G17" s="33"/>
      <c r="H17" s="38"/>
      <c r="I17" s="36"/>
      <c r="J17" s="36"/>
      <c r="K17" s="36">
        <f t="shared" si="5"/>
        <v>0</v>
      </c>
      <c r="L17" s="32"/>
    </row>
    <row r="18" spans="1:12" ht="12.75">
      <c r="A18" s="29" t="s">
        <v>83</v>
      </c>
      <c r="B18" s="29" t="s">
        <v>84</v>
      </c>
      <c r="C18" s="36">
        <f t="shared" si="6"/>
        <v>40225</v>
      </c>
      <c r="D18" s="36">
        <f t="shared" si="6"/>
        <v>76083</v>
      </c>
      <c r="E18" s="35">
        <f t="shared" si="1"/>
        <v>90671</v>
      </c>
      <c r="F18" s="32">
        <f t="shared" si="2"/>
        <v>119.17379703744595</v>
      </c>
      <c r="G18" s="29" t="s">
        <v>85</v>
      </c>
      <c r="H18" s="29" t="s">
        <v>86</v>
      </c>
      <c r="I18" s="36">
        <f>SUM(I61+I103)</f>
        <v>62861</v>
      </c>
      <c r="J18" s="36">
        <f>SUM(J61+J103)</f>
        <v>67331</v>
      </c>
      <c r="K18" s="36">
        <f t="shared" si="5"/>
        <v>27747</v>
      </c>
      <c r="L18" s="32">
        <f t="shared" si="3"/>
        <v>41.209843905481875</v>
      </c>
    </row>
    <row r="19" spans="1:12" ht="12.75">
      <c r="A19" s="29" t="s">
        <v>87</v>
      </c>
      <c r="B19" s="29" t="s">
        <v>88</v>
      </c>
      <c r="C19" s="36">
        <f t="shared" si="6"/>
        <v>0</v>
      </c>
      <c r="D19" s="36">
        <f t="shared" si="6"/>
        <v>96</v>
      </c>
      <c r="E19" s="35">
        <f t="shared" si="1"/>
        <v>716</v>
      </c>
      <c r="F19" s="32"/>
      <c r="G19" s="29" t="s">
        <v>89</v>
      </c>
      <c r="H19" s="29" t="s">
        <v>90</v>
      </c>
      <c r="I19" s="36">
        <f>SUM(I20:I21)</f>
        <v>5000</v>
      </c>
      <c r="J19" s="36">
        <f>SUM(J20:J21)</f>
        <v>575</v>
      </c>
      <c r="K19" s="36">
        <f t="shared" si="5"/>
        <v>0</v>
      </c>
      <c r="L19" s="32">
        <f t="shared" si="3"/>
        <v>0</v>
      </c>
    </row>
    <row r="20" spans="1:12" ht="12.75">
      <c r="A20" s="33"/>
      <c r="B20" s="34" t="s">
        <v>91</v>
      </c>
      <c r="C20" s="36"/>
      <c r="D20" s="36"/>
      <c r="E20" s="35">
        <f t="shared" si="1"/>
        <v>0</v>
      </c>
      <c r="F20" s="32"/>
      <c r="G20" s="33" t="s">
        <v>1</v>
      </c>
      <c r="H20" s="38" t="s">
        <v>92</v>
      </c>
      <c r="I20" s="36">
        <f>SUM(I63+I105)</f>
        <v>0</v>
      </c>
      <c r="J20" s="36">
        <f>SUM(J63+J105)</f>
        <v>0</v>
      </c>
      <c r="K20" s="36">
        <f t="shared" si="5"/>
        <v>0</v>
      </c>
      <c r="L20" s="32"/>
    </row>
    <row r="21" spans="1:12" ht="12.75">
      <c r="A21" s="29" t="s">
        <v>93</v>
      </c>
      <c r="B21" s="29" t="s">
        <v>94</v>
      </c>
      <c r="C21" s="35">
        <f>SUM(C64+C106)</f>
        <v>0</v>
      </c>
      <c r="D21" s="35"/>
      <c r="E21" s="35">
        <f t="shared" si="1"/>
        <v>8824</v>
      </c>
      <c r="F21" s="32"/>
      <c r="G21" s="33" t="s">
        <v>3</v>
      </c>
      <c r="H21" s="38" t="s">
        <v>95</v>
      </c>
      <c r="I21" s="36">
        <f>SUM(I64+I106)</f>
        <v>5000</v>
      </c>
      <c r="J21" s="36">
        <f>SUM(J64+J106)</f>
        <v>575</v>
      </c>
      <c r="K21" s="36">
        <f t="shared" si="5"/>
        <v>0</v>
      </c>
      <c r="L21" s="32">
        <f t="shared" si="3"/>
        <v>0</v>
      </c>
    </row>
    <row r="22" spans="1:12" ht="12.75">
      <c r="A22" s="29" t="s">
        <v>89</v>
      </c>
      <c r="B22" s="29" t="s">
        <v>96</v>
      </c>
      <c r="C22" s="35">
        <f>SUM(C65+C107)</f>
        <v>186</v>
      </c>
      <c r="D22" s="35">
        <f>SUM(D65+D107)</f>
        <v>28591</v>
      </c>
      <c r="E22" s="35">
        <f t="shared" si="1"/>
        <v>15466</v>
      </c>
      <c r="F22" s="32">
        <f t="shared" si="2"/>
        <v>54.09394564723164</v>
      </c>
      <c r="G22" s="33"/>
      <c r="H22" s="38"/>
      <c r="I22" s="36"/>
      <c r="J22" s="36"/>
      <c r="K22" s="36"/>
      <c r="L22" s="32"/>
    </row>
    <row r="23" spans="1:12" ht="12.75">
      <c r="A23" s="33"/>
      <c r="B23" s="40" t="s">
        <v>97</v>
      </c>
      <c r="C23" s="41">
        <f>SUM(C8+C9+C14+C18+C19+C20+C21+C22)</f>
        <v>986737</v>
      </c>
      <c r="D23" s="41">
        <f>SUM(D8+D9+D14+D18+D19+D20+D21+D22)</f>
        <v>1125294</v>
      </c>
      <c r="E23" s="41">
        <f>SUM(E8+E9+E14+E18+E19+E20+E21+E22)</f>
        <v>1139200</v>
      </c>
      <c r="F23" s="42">
        <f>E23/D23*100</f>
        <v>101.23576594205603</v>
      </c>
      <c r="G23" s="33"/>
      <c r="H23" s="40" t="s">
        <v>98</v>
      </c>
      <c r="I23" s="41">
        <f>SUM(I7)</f>
        <v>1150143</v>
      </c>
      <c r="J23" s="41">
        <f>SUM(J7)</f>
        <v>1224762</v>
      </c>
      <c r="K23" s="41">
        <f>SUM(K7)</f>
        <v>1156445</v>
      </c>
      <c r="L23" s="42">
        <f>K23/J23*100</f>
        <v>94.42201831866109</v>
      </c>
    </row>
    <row r="24" spans="1:12" ht="12.75">
      <c r="A24" s="33"/>
      <c r="B24" s="43" t="s">
        <v>99</v>
      </c>
      <c r="C24" s="44">
        <f>I25-C23</f>
        <v>163406</v>
      </c>
      <c r="D24" s="44">
        <f>J25-D23</f>
        <v>99468</v>
      </c>
      <c r="E24" s="44"/>
      <c r="F24" s="32">
        <f t="shared" si="2"/>
        <v>0</v>
      </c>
      <c r="G24" s="33"/>
      <c r="H24" s="38" t="s">
        <v>100</v>
      </c>
      <c r="I24" s="44">
        <f>SUM(I67,I109)</f>
        <v>0</v>
      </c>
      <c r="J24" s="44">
        <f>SUM(J67,J109)</f>
        <v>0</v>
      </c>
      <c r="K24" s="44">
        <f>SUM(K67,K109)</f>
        <v>0</v>
      </c>
      <c r="L24" s="32"/>
    </row>
    <row r="25" spans="1:12" ht="12.75">
      <c r="A25" s="33"/>
      <c r="B25" s="29" t="s">
        <v>101</v>
      </c>
      <c r="C25" s="36"/>
      <c r="D25" s="36"/>
      <c r="E25" s="36"/>
      <c r="F25" s="32"/>
      <c r="G25" s="33"/>
      <c r="H25" s="40" t="s">
        <v>102</v>
      </c>
      <c r="I25" s="41">
        <f>SUM(I8+I9+I10+I11+I18+I19)</f>
        <v>1150143</v>
      </c>
      <c r="J25" s="41">
        <f>SUM(J8+J9+J10+J11+J18+J19)</f>
        <v>1224762</v>
      </c>
      <c r="K25" s="41">
        <f>SUM(K8+K9+K10+K11+K18+K19)</f>
        <v>1156445</v>
      </c>
      <c r="L25" s="42">
        <f>K25/J25*100</f>
        <v>94.42201831866109</v>
      </c>
    </row>
    <row r="26" spans="1:12" ht="12.75">
      <c r="A26" s="29" t="s">
        <v>103</v>
      </c>
      <c r="B26" s="29" t="s">
        <v>104</v>
      </c>
      <c r="C26" s="36">
        <f>SUM(C69+C111)</f>
        <v>22451</v>
      </c>
      <c r="D26" s="36">
        <f aca="true" t="shared" si="7" ref="D26:E29">SUM(D69+D111)</f>
        <v>1000</v>
      </c>
      <c r="E26" s="36">
        <f t="shared" si="7"/>
        <v>4641</v>
      </c>
      <c r="F26" s="32">
        <f t="shared" si="2"/>
        <v>464.1</v>
      </c>
      <c r="G26" s="33"/>
      <c r="H26" s="43" t="s">
        <v>105</v>
      </c>
      <c r="I26" s="36"/>
      <c r="J26" s="36"/>
      <c r="K26" s="36"/>
      <c r="L26" s="32"/>
    </row>
    <row r="27" spans="1:12" ht="12.75">
      <c r="A27" s="29" t="s">
        <v>106</v>
      </c>
      <c r="B27" s="29" t="s">
        <v>107</v>
      </c>
      <c r="C27" s="36">
        <f>SUM(C70+C112)</f>
        <v>10000</v>
      </c>
      <c r="D27" s="36">
        <f t="shared" si="7"/>
        <v>10000</v>
      </c>
      <c r="E27" s="36">
        <f t="shared" si="7"/>
        <v>10867</v>
      </c>
      <c r="F27" s="32">
        <f t="shared" si="2"/>
        <v>108.67</v>
      </c>
      <c r="G27" s="33"/>
      <c r="H27" s="29" t="s">
        <v>108</v>
      </c>
      <c r="I27" s="36"/>
      <c r="J27" s="36"/>
      <c r="K27" s="36"/>
      <c r="L27" s="32"/>
    </row>
    <row r="28" spans="1:12" ht="12.75">
      <c r="A28" s="29" t="s">
        <v>109</v>
      </c>
      <c r="B28" s="29" t="s">
        <v>110</v>
      </c>
      <c r="C28" s="36">
        <f>SUM(C71+C113)</f>
        <v>14011</v>
      </c>
      <c r="D28" s="36">
        <f t="shared" si="7"/>
        <v>24405</v>
      </c>
      <c r="E28" s="36">
        <f>SUM(E71+E113)</f>
        <v>24405</v>
      </c>
      <c r="F28" s="32">
        <f t="shared" si="2"/>
        <v>100</v>
      </c>
      <c r="G28" s="29" t="s">
        <v>61</v>
      </c>
      <c r="H28" s="29" t="s">
        <v>111</v>
      </c>
      <c r="I28" s="36">
        <f>SUM(I71+I113)</f>
        <v>26935</v>
      </c>
      <c r="J28" s="36">
        <f>SUM(J71+J113)</f>
        <v>26935</v>
      </c>
      <c r="K28" s="36">
        <f>SUM(K71+K113)</f>
        <v>15284</v>
      </c>
      <c r="L28" s="32">
        <f t="shared" si="3"/>
        <v>56.74401336550956</v>
      </c>
    </row>
    <row r="29" spans="1:12" ht="12.75">
      <c r="A29" s="29" t="s">
        <v>112</v>
      </c>
      <c r="B29" s="29" t="s">
        <v>113</v>
      </c>
      <c r="C29" s="36">
        <f>SUM(C72+C114)</f>
        <v>0</v>
      </c>
      <c r="D29" s="36">
        <f t="shared" si="7"/>
        <v>9976</v>
      </c>
      <c r="E29" s="36">
        <f>SUM(E72+E114)</f>
        <v>7054</v>
      </c>
      <c r="F29" s="32">
        <f t="shared" si="2"/>
        <v>70.70970328789093</v>
      </c>
      <c r="G29" s="29" t="s">
        <v>65</v>
      </c>
      <c r="H29" s="29" t="s">
        <v>66</v>
      </c>
      <c r="I29" s="36">
        <f>SUM(I30:I31)</f>
        <v>0</v>
      </c>
      <c r="J29" s="36">
        <f>SUM(J30:J31)</f>
        <v>14</v>
      </c>
      <c r="K29" s="36">
        <f>SUM(K72+K114)</f>
        <v>14</v>
      </c>
      <c r="L29" s="32">
        <f t="shared" si="3"/>
        <v>100</v>
      </c>
    </row>
    <row r="30" spans="1:12" ht="12.75">
      <c r="A30" s="29" t="s">
        <v>61</v>
      </c>
      <c r="B30" s="29" t="s">
        <v>114</v>
      </c>
      <c r="C30" s="36">
        <f>SUM(C31:C33)</f>
        <v>4000</v>
      </c>
      <c r="D30" s="36">
        <f>SUM(D31:D33)</f>
        <v>10254</v>
      </c>
      <c r="E30" s="36">
        <f>SUM(E73+E115)</f>
        <v>14088</v>
      </c>
      <c r="F30" s="32">
        <f t="shared" si="2"/>
        <v>137.3902867173786</v>
      </c>
      <c r="G30" s="33" t="s">
        <v>1</v>
      </c>
      <c r="H30" s="38" t="s">
        <v>69</v>
      </c>
      <c r="I30" s="36">
        <f>SUM(I73+I115)</f>
        <v>0</v>
      </c>
      <c r="J30" s="36">
        <f>SUM(J73+J115)</f>
        <v>0</v>
      </c>
      <c r="K30" s="36">
        <f>SUM(K73+K115)</f>
        <v>0</v>
      </c>
      <c r="L30" s="32"/>
    </row>
    <row r="31" spans="1:12" ht="12.75">
      <c r="A31" s="33" t="s">
        <v>1</v>
      </c>
      <c r="B31" s="45" t="s">
        <v>115</v>
      </c>
      <c r="C31" s="36">
        <f>SUM(C74+C116)</f>
        <v>0</v>
      </c>
      <c r="D31" s="36">
        <f aca="true" t="shared" si="8" ref="D31:E35">SUM(D74+D116)</f>
        <v>0</v>
      </c>
      <c r="E31" s="36">
        <f t="shared" si="8"/>
        <v>0</v>
      </c>
      <c r="F31" s="32"/>
      <c r="G31" s="33" t="s">
        <v>3</v>
      </c>
      <c r="H31" s="38" t="s">
        <v>116</v>
      </c>
      <c r="I31" s="36">
        <f>SUM(I74+I116)</f>
        <v>0</v>
      </c>
      <c r="J31" s="36">
        <f>SUM(J74+J116)</f>
        <v>14</v>
      </c>
      <c r="K31" s="36">
        <f>SUM(K74+K116)</f>
        <v>14</v>
      </c>
      <c r="L31" s="32">
        <f t="shared" si="3"/>
        <v>100</v>
      </c>
    </row>
    <row r="32" spans="1:12" ht="12.75">
      <c r="A32" s="33" t="s">
        <v>3</v>
      </c>
      <c r="B32" s="45" t="s">
        <v>117</v>
      </c>
      <c r="C32" s="36">
        <f>SUM(C75+C117)</f>
        <v>4000</v>
      </c>
      <c r="D32" s="36">
        <f t="shared" si="8"/>
        <v>9954</v>
      </c>
      <c r="E32" s="36">
        <f t="shared" si="8"/>
        <v>13788</v>
      </c>
      <c r="F32" s="32">
        <f t="shared" si="2"/>
        <v>138.51717902350813</v>
      </c>
      <c r="G32" s="29" t="s">
        <v>118</v>
      </c>
      <c r="H32" s="29" t="s">
        <v>119</v>
      </c>
      <c r="I32" s="36">
        <f>SUM(I33:I35)</f>
        <v>190047</v>
      </c>
      <c r="J32" s="36">
        <f>SUM(J33:J35)</f>
        <v>161474</v>
      </c>
      <c r="K32" s="36">
        <f>SUM(K33:K35)</f>
        <v>41163</v>
      </c>
      <c r="L32" s="32">
        <f t="shared" si="3"/>
        <v>25.492029676604282</v>
      </c>
    </row>
    <row r="33" spans="1:12" ht="12.75">
      <c r="A33" s="33" t="s">
        <v>5</v>
      </c>
      <c r="B33" s="45" t="s">
        <v>120</v>
      </c>
      <c r="C33" s="36">
        <f>SUM(C76+C118)</f>
        <v>0</v>
      </c>
      <c r="D33" s="36">
        <f t="shared" si="8"/>
        <v>300</v>
      </c>
      <c r="E33" s="36">
        <f t="shared" si="8"/>
        <v>300</v>
      </c>
      <c r="F33" s="32">
        <f t="shared" si="2"/>
        <v>100</v>
      </c>
      <c r="G33" s="33" t="s">
        <v>1</v>
      </c>
      <c r="H33" s="45" t="s">
        <v>121</v>
      </c>
      <c r="I33" s="36">
        <f>SUM(I76+I118)</f>
        <v>15875</v>
      </c>
      <c r="J33" s="36">
        <f aca="true" t="shared" si="9" ref="J33:K36">SUM(J76+J118)</f>
        <v>15875</v>
      </c>
      <c r="K33" s="36">
        <f t="shared" si="9"/>
        <v>10929</v>
      </c>
      <c r="L33" s="32">
        <f t="shared" si="3"/>
        <v>68.84409448818897</v>
      </c>
    </row>
    <row r="34" spans="1:12" ht="12.75">
      <c r="A34" s="29" t="s">
        <v>122</v>
      </c>
      <c r="B34" s="29" t="s">
        <v>123</v>
      </c>
      <c r="C34" s="36">
        <f>SUM(C77+C119)</f>
        <v>58982</v>
      </c>
      <c r="D34" s="36">
        <f t="shared" si="8"/>
        <v>71658</v>
      </c>
      <c r="E34" s="36">
        <f t="shared" si="8"/>
        <v>0</v>
      </c>
      <c r="F34" s="32">
        <f t="shared" si="2"/>
        <v>0</v>
      </c>
      <c r="G34" s="33" t="s">
        <v>3</v>
      </c>
      <c r="H34" s="45" t="s">
        <v>124</v>
      </c>
      <c r="I34" s="36">
        <f>SUM(I77+I119)</f>
        <v>174172</v>
      </c>
      <c r="J34" s="36">
        <f t="shared" si="9"/>
        <v>144289</v>
      </c>
      <c r="K34" s="36">
        <f t="shared" si="9"/>
        <v>28924</v>
      </c>
      <c r="L34" s="32">
        <f t="shared" si="3"/>
        <v>20.04588014332347</v>
      </c>
    </row>
    <row r="35" spans="1:12" ht="12.75">
      <c r="A35" s="29" t="s">
        <v>125</v>
      </c>
      <c r="B35" s="29" t="s">
        <v>126</v>
      </c>
      <c r="C35" s="36">
        <f>SUM(C78+C120)</f>
        <v>1073</v>
      </c>
      <c r="D35" s="36">
        <f t="shared" si="8"/>
        <v>1073</v>
      </c>
      <c r="E35" s="36">
        <f t="shared" si="8"/>
        <v>94</v>
      </c>
      <c r="F35" s="32">
        <f t="shared" si="2"/>
        <v>8.760484622553587</v>
      </c>
      <c r="G35" s="33" t="s">
        <v>5</v>
      </c>
      <c r="H35" s="38" t="s">
        <v>127</v>
      </c>
      <c r="I35" s="36">
        <f>SUM(I78+I120)</f>
        <v>0</v>
      </c>
      <c r="J35" s="36">
        <f t="shared" si="9"/>
        <v>1310</v>
      </c>
      <c r="K35" s="36">
        <f t="shared" si="9"/>
        <v>1310</v>
      </c>
      <c r="L35" s="32">
        <f t="shared" si="3"/>
        <v>100</v>
      </c>
    </row>
    <row r="36" spans="1:12" ht="12.75">
      <c r="A36" s="29" t="s">
        <v>118</v>
      </c>
      <c r="B36" s="29" t="s">
        <v>128</v>
      </c>
      <c r="C36" s="36"/>
      <c r="D36" s="36"/>
      <c r="E36" s="36">
        <f>SUM(E79+E121)</f>
        <v>0</v>
      </c>
      <c r="F36" s="32"/>
      <c r="G36" s="29" t="s">
        <v>85</v>
      </c>
      <c r="H36" s="29" t="s">
        <v>129</v>
      </c>
      <c r="I36" s="36">
        <f>SUM(I79+I121)</f>
        <v>6116</v>
      </c>
      <c r="J36" s="36">
        <f t="shared" si="9"/>
        <v>6116</v>
      </c>
      <c r="K36" s="36">
        <f t="shared" si="9"/>
        <v>6739</v>
      </c>
      <c r="L36" s="32">
        <f t="shared" si="3"/>
        <v>110.18639633747547</v>
      </c>
    </row>
    <row r="37" spans="1:12" ht="12.75">
      <c r="A37" s="29" t="s">
        <v>85</v>
      </c>
      <c r="B37" s="29" t="s">
        <v>129</v>
      </c>
      <c r="C37" s="36">
        <f>SUM(C80+C122)</f>
        <v>0</v>
      </c>
      <c r="D37" s="36">
        <f>SUM(D80+D122)</f>
        <v>0</v>
      </c>
      <c r="E37" s="36">
        <f>SUM(E80+E122)</f>
        <v>0</v>
      </c>
      <c r="F37" s="32"/>
      <c r="G37" s="29" t="s">
        <v>89</v>
      </c>
      <c r="H37" s="29" t="s">
        <v>90</v>
      </c>
      <c r="I37" s="36">
        <f>SUM(I80+I122)</f>
        <v>0</v>
      </c>
      <c r="J37" s="36">
        <f>SUM(J80+J122)</f>
        <v>153046</v>
      </c>
      <c r="K37" s="36">
        <f>SUM(K80+K122)</f>
        <v>0</v>
      </c>
      <c r="L37" s="32">
        <f t="shared" si="3"/>
        <v>0</v>
      </c>
    </row>
    <row r="38" spans="1:12" ht="12.75">
      <c r="A38" s="29" t="s">
        <v>89</v>
      </c>
      <c r="B38" s="29" t="s">
        <v>96</v>
      </c>
      <c r="C38" s="36">
        <f>SUM(C81+C123)</f>
        <v>112581</v>
      </c>
      <c r="D38" s="36">
        <f>SUM(D81+D123)</f>
        <v>219219</v>
      </c>
      <c r="E38" s="36">
        <f>SUM(E81+E123)</f>
        <v>26648</v>
      </c>
      <c r="F38" s="32">
        <f t="shared" si="2"/>
        <v>12.155880649031333</v>
      </c>
      <c r="G38" s="33" t="s">
        <v>1</v>
      </c>
      <c r="H38" s="38" t="s">
        <v>92</v>
      </c>
      <c r="I38" s="36">
        <v>0</v>
      </c>
      <c r="J38" s="36">
        <v>0</v>
      </c>
      <c r="K38" s="36">
        <f>SUM(K81+K123)</f>
        <v>0</v>
      </c>
      <c r="L38" s="32"/>
    </row>
    <row r="39" spans="1:12" ht="12.75">
      <c r="A39" s="33"/>
      <c r="B39" s="40" t="s">
        <v>130</v>
      </c>
      <c r="C39" s="41">
        <f>SUM(C26+C27+C28+C29+C30+C34++C35+C36+C37+C38)</f>
        <v>223098</v>
      </c>
      <c r="D39" s="41">
        <f>SUM(D26+D27+D28+D29+D30+D34++D35+D36+D37+D38)</f>
        <v>347585</v>
      </c>
      <c r="E39" s="41">
        <f>SUM(E26+E27+E28+E29+E30+E34++E35+E36+E37+E38)</f>
        <v>87797</v>
      </c>
      <c r="F39" s="42">
        <f t="shared" si="2"/>
        <v>25.259145245047975</v>
      </c>
      <c r="G39" s="33"/>
      <c r="H39" s="40" t="s">
        <v>131</v>
      </c>
      <c r="I39" s="41">
        <f>SUM(I28+I29+I32+I36+I37)</f>
        <v>223098</v>
      </c>
      <c r="J39" s="41">
        <f>SUM(J28+J29+J32+J36+J37)</f>
        <v>347585</v>
      </c>
      <c r="K39" s="41">
        <f>SUM(K28+K29+K32+K36+K37)</f>
        <v>63200</v>
      </c>
      <c r="L39" s="42">
        <f t="shared" si="3"/>
        <v>18.18260281657724</v>
      </c>
    </row>
    <row r="40" spans="1:12" ht="12.75">
      <c r="A40" s="33"/>
      <c r="B40" s="40" t="s">
        <v>132</v>
      </c>
      <c r="C40" s="41">
        <f>SUM(C23,C39)</f>
        <v>1209835</v>
      </c>
      <c r="D40" s="41">
        <f>SUM(D23,D39)</f>
        <v>1472879</v>
      </c>
      <c r="E40" s="41">
        <f>SUM(E23,E39)</f>
        <v>1226997</v>
      </c>
      <c r="F40" s="42">
        <f t="shared" si="2"/>
        <v>83.30602853323322</v>
      </c>
      <c r="G40" s="33"/>
      <c r="H40" s="40" t="s">
        <v>133</v>
      </c>
      <c r="I40" s="41">
        <f>SUM(I25,I39)</f>
        <v>1373241</v>
      </c>
      <c r="J40" s="41">
        <f>SUM(J25,J39)</f>
        <v>1572347</v>
      </c>
      <c r="K40" s="41">
        <f>SUM(K25,K39)</f>
        <v>1219645</v>
      </c>
      <c r="L40" s="42">
        <f t="shared" si="3"/>
        <v>77.56843750139123</v>
      </c>
    </row>
    <row r="41" spans="1:12" ht="12.75">
      <c r="A41" s="33"/>
      <c r="B41" s="43" t="s">
        <v>134</v>
      </c>
      <c r="C41" s="44"/>
      <c r="D41" s="44"/>
      <c r="E41" s="46"/>
      <c r="F41" s="32"/>
      <c r="G41" s="33"/>
      <c r="H41" s="38" t="s">
        <v>135</v>
      </c>
      <c r="I41" s="36">
        <f>C39-I39</f>
        <v>0</v>
      </c>
      <c r="J41" s="36">
        <f>D39-J39</f>
        <v>0</v>
      </c>
      <c r="K41" s="36"/>
      <c r="L41" s="32"/>
    </row>
    <row r="42" spans="1:12" ht="12.75">
      <c r="A42" s="33"/>
      <c r="B42" s="47" t="s">
        <v>136</v>
      </c>
      <c r="C42" s="48">
        <f>SUM(C41+C24)</f>
        <v>163406</v>
      </c>
      <c r="D42" s="48">
        <f>SUM(D41+D24)</f>
        <v>99468</v>
      </c>
      <c r="E42" s="48">
        <f>SUM(E41+E24)</f>
        <v>0</v>
      </c>
      <c r="F42" s="32">
        <f t="shared" si="2"/>
        <v>0</v>
      </c>
      <c r="G42" s="33"/>
      <c r="H42" s="47" t="s">
        <v>137</v>
      </c>
      <c r="I42" s="35">
        <f>SUM(I24,I41)</f>
        <v>0</v>
      </c>
      <c r="J42" s="35">
        <f>SUM(J24,J41)</f>
        <v>0</v>
      </c>
      <c r="K42" s="35"/>
      <c r="L42" s="32"/>
    </row>
    <row r="43" spans="1:12" ht="12.75">
      <c r="A43" s="33"/>
      <c r="B43" s="40" t="s">
        <v>138</v>
      </c>
      <c r="C43" s="41">
        <f>SUM(C40+C42)</f>
        <v>1373241</v>
      </c>
      <c r="D43" s="41">
        <f>SUM(D40+D42)</f>
        <v>1572347</v>
      </c>
      <c r="E43" s="41">
        <f>SUM(E40+E42)</f>
        <v>1226997</v>
      </c>
      <c r="F43" s="42">
        <f t="shared" si="2"/>
        <v>78.0360187668498</v>
      </c>
      <c r="G43" s="33"/>
      <c r="H43" s="40" t="s">
        <v>139</v>
      </c>
      <c r="I43" s="41">
        <f>SUM(I40,I42)</f>
        <v>1373241</v>
      </c>
      <c r="J43" s="41">
        <f>SUM(J40,J42)</f>
        <v>1572347</v>
      </c>
      <c r="K43" s="41">
        <f>SUM(K40,K42)</f>
        <v>1219645</v>
      </c>
      <c r="L43" s="42">
        <f>K43/J43*100</f>
        <v>77.56843750139123</v>
      </c>
    </row>
    <row r="44" spans="1:12" ht="12.75" customHeight="1">
      <c r="A44" s="19" t="s">
        <v>140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20" t="s">
        <v>141</v>
      </c>
      <c r="B46" s="21"/>
      <c r="C46" s="22"/>
      <c r="D46" s="22"/>
      <c r="E46" s="22"/>
      <c r="F46" s="23"/>
      <c r="G46" s="21"/>
      <c r="H46" s="21"/>
      <c r="I46" s="24" t="s">
        <v>43</v>
      </c>
      <c r="J46" s="24"/>
      <c r="K46" s="24"/>
      <c r="L46" s="24"/>
    </row>
    <row r="47" spans="1:12" ht="12.75" customHeight="1">
      <c r="A47" s="25" t="s">
        <v>44</v>
      </c>
      <c r="B47" s="26" t="s">
        <v>45</v>
      </c>
      <c r="C47" s="27" t="s">
        <v>46</v>
      </c>
      <c r="D47" s="27" t="s">
        <v>47</v>
      </c>
      <c r="E47" s="27" t="s">
        <v>48</v>
      </c>
      <c r="F47" s="28" t="s">
        <v>49</v>
      </c>
      <c r="G47" s="25" t="s">
        <v>44</v>
      </c>
      <c r="H47" s="26" t="s">
        <v>50</v>
      </c>
      <c r="I47" s="27" t="s">
        <v>46</v>
      </c>
      <c r="J47" s="27" t="s">
        <v>47</v>
      </c>
      <c r="K47" s="27" t="s">
        <v>48</v>
      </c>
      <c r="L47" s="28" t="s">
        <v>49</v>
      </c>
    </row>
    <row r="48" spans="1:12" ht="12.75" customHeight="1">
      <c r="A48" s="25"/>
      <c r="B48" s="26"/>
      <c r="C48" s="27"/>
      <c r="D48" s="27"/>
      <c r="E48" s="27"/>
      <c r="F48" s="28"/>
      <c r="G48" s="25"/>
      <c r="H48" s="26"/>
      <c r="I48" s="27"/>
      <c r="J48" s="27"/>
      <c r="K48" s="27"/>
      <c r="L48" s="28"/>
    </row>
    <row r="49" spans="1:12" ht="12.75">
      <c r="A49" s="25"/>
      <c r="B49" s="26"/>
      <c r="C49" s="27"/>
      <c r="D49" s="27"/>
      <c r="E49" s="27"/>
      <c r="F49" s="28"/>
      <c r="G49" s="25"/>
      <c r="H49" s="26"/>
      <c r="I49" s="27"/>
      <c r="J49" s="27"/>
      <c r="K49" s="27"/>
      <c r="L49" s="28"/>
    </row>
    <row r="50" spans="1:12" ht="12.75">
      <c r="A50" s="29" t="s">
        <v>51</v>
      </c>
      <c r="B50" s="29" t="s">
        <v>52</v>
      </c>
      <c r="C50" s="30"/>
      <c r="D50" s="30"/>
      <c r="E50" s="30"/>
      <c r="F50" s="31"/>
      <c r="G50" s="29"/>
      <c r="H50" s="29" t="s">
        <v>53</v>
      </c>
      <c r="I50" s="30">
        <f>SUM(I51:I53,I54,I61,I62)</f>
        <v>1568</v>
      </c>
      <c r="J50" s="30">
        <f>SUM(J51:J53,J54,J61,J62)</f>
        <v>1695</v>
      </c>
      <c r="K50" s="30">
        <f>SUM(K51:K53,K54,K61,K62)</f>
        <v>1929</v>
      </c>
      <c r="L50" s="32">
        <f aca="true" t="shared" si="10" ref="L50:L55">K50/J50*100</f>
        <v>113.80530973451329</v>
      </c>
    </row>
    <row r="51" spans="1:12" ht="12.75">
      <c r="A51" s="33" t="s">
        <v>1</v>
      </c>
      <c r="B51" s="34" t="s">
        <v>54</v>
      </c>
      <c r="C51" s="35">
        <v>0</v>
      </c>
      <c r="D51" s="35">
        <v>0</v>
      </c>
      <c r="E51" s="35"/>
      <c r="F51" s="32"/>
      <c r="G51" s="29" t="s">
        <v>51</v>
      </c>
      <c r="H51" s="29" t="s">
        <v>55</v>
      </c>
      <c r="I51" s="36">
        <v>600</v>
      </c>
      <c r="J51" s="36">
        <v>570</v>
      </c>
      <c r="K51" s="36">
        <v>605</v>
      </c>
      <c r="L51" s="32">
        <f t="shared" si="10"/>
        <v>106.14035087719299</v>
      </c>
    </row>
    <row r="52" spans="1:12" ht="12.75">
      <c r="A52" s="33" t="s">
        <v>3</v>
      </c>
      <c r="B52" s="34" t="s">
        <v>56</v>
      </c>
      <c r="C52" s="35">
        <v>0</v>
      </c>
      <c r="D52" s="35">
        <v>0</v>
      </c>
      <c r="E52" s="35"/>
      <c r="F52" s="32"/>
      <c r="G52" s="29" t="s">
        <v>57</v>
      </c>
      <c r="H52" s="29" t="s">
        <v>58</v>
      </c>
      <c r="I52" s="36">
        <v>100</v>
      </c>
      <c r="J52" s="36">
        <v>100</v>
      </c>
      <c r="K52" s="36">
        <v>68</v>
      </c>
      <c r="L52" s="32">
        <f t="shared" si="10"/>
        <v>68</v>
      </c>
    </row>
    <row r="53" spans="1:12" ht="12.75">
      <c r="A53" s="37" t="s">
        <v>59</v>
      </c>
      <c r="B53" s="38" t="s">
        <v>60</v>
      </c>
      <c r="C53" s="36">
        <v>0</v>
      </c>
      <c r="D53" s="36">
        <v>0</v>
      </c>
      <c r="E53" s="35"/>
      <c r="F53" s="32"/>
      <c r="G53" s="29" t="s">
        <v>61</v>
      </c>
      <c r="H53" s="29" t="s">
        <v>62</v>
      </c>
      <c r="I53" s="36">
        <v>330</v>
      </c>
      <c r="J53" s="36">
        <f>138+200</f>
        <v>338</v>
      </c>
      <c r="K53" s="36">
        <f>174+111+609+2</f>
        <v>896</v>
      </c>
      <c r="L53" s="32">
        <f t="shared" si="10"/>
        <v>265.08875739644975</v>
      </c>
    </row>
    <row r="54" spans="1:12" ht="12.75">
      <c r="A54" s="37" t="s">
        <v>63</v>
      </c>
      <c r="B54" s="38" t="s">
        <v>64</v>
      </c>
      <c r="C54" s="36"/>
      <c r="D54" s="36"/>
      <c r="E54" s="35"/>
      <c r="F54" s="32"/>
      <c r="G54" s="29" t="s">
        <v>65</v>
      </c>
      <c r="H54" s="29" t="s">
        <v>66</v>
      </c>
      <c r="I54" s="36">
        <f>SUM(I55:I59)</f>
        <v>538</v>
      </c>
      <c r="J54" s="36">
        <f>SUM(J55:J59)</f>
        <v>412</v>
      </c>
      <c r="K54" s="36">
        <f>SUM(K55:K59)</f>
        <v>360</v>
      </c>
      <c r="L54" s="32">
        <f t="shared" si="10"/>
        <v>87.37864077669903</v>
      </c>
    </row>
    <row r="55" spans="1:12" ht="12.75">
      <c r="A55" s="37" t="s">
        <v>67</v>
      </c>
      <c r="B55" s="38" t="s">
        <v>68</v>
      </c>
      <c r="C55" s="36"/>
      <c r="D55" s="36"/>
      <c r="E55" s="35"/>
      <c r="F55" s="32"/>
      <c r="G55" s="33" t="s">
        <v>1</v>
      </c>
      <c r="H55" s="38" t="s">
        <v>69</v>
      </c>
      <c r="I55" s="36">
        <v>320</v>
      </c>
      <c r="J55" s="36">
        <v>194</v>
      </c>
      <c r="K55" s="36"/>
      <c r="L55" s="32">
        <f t="shared" si="10"/>
        <v>0</v>
      </c>
    </row>
    <row r="56" spans="1:12" ht="12.75">
      <c r="A56" s="39" t="s">
        <v>70</v>
      </c>
      <c r="B56" s="29" t="s">
        <v>71</v>
      </c>
      <c r="C56" s="36"/>
      <c r="D56" s="36"/>
      <c r="E56" s="35"/>
      <c r="F56" s="32"/>
      <c r="G56" s="33" t="s">
        <v>3</v>
      </c>
      <c r="H56" s="38" t="s">
        <v>72</v>
      </c>
      <c r="I56" s="36">
        <v>0</v>
      </c>
      <c r="J56" s="36"/>
      <c r="K56" s="36"/>
      <c r="L56" s="32"/>
    </row>
    <row r="57" spans="1:12" ht="12.75">
      <c r="A57" s="33" t="s">
        <v>1</v>
      </c>
      <c r="B57" s="34" t="s">
        <v>73</v>
      </c>
      <c r="C57" s="35">
        <f>SUM(C58:C60)</f>
        <v>882</v>
      </c>
      <c r="D57" s="35">
        <f>SUM(D58:D60)</f>
        <v>756</v>
      </c>
      <c r="E57" s="35">
        <f>SUM(E58:E60)</f>
        <v>756</v>
      </c>
      <c r="F57" s="32">
        <f>E57/D57*100</f>
        <v>100</v>
      </c>
      <c r="G57" s="33" t="s">
        <v>5</v>
      </c>
      <c r="H57" s="38" t="s">
        <v>74</v>
      </c>
      <c r="I57" s="36">
        <v>0</v>
      </c>
      <c r="J57" s="36"/>
      <c r="K57" s="36"/>
      <c r="L57" s="32"/>
    </row>
    <row r="58" spans="1:12" ht="12.75">
      <c r="A58" s="33" t="s">
        <v>75</v>
      </c>
      <c r="B58" s="38" t="s">
        <v>76</v>
      </c>
      <c r="C58" s="36">
        <v>0</v>
      </c>
      <c r="D58" s="36"/>
      <c r="E58" s="35"/>
      <c r="F58" s="32"/>
      <c r="G58" s="33" t="s">
        <v>7</v>
      </c>
      <c r="H58" s="38" t="s">
        <v>77</v>
      </c>
      <c r="I58" s="36">
        <v>0</v>
      </c>
      <c r="J58" s="36"/>
      <c r="K58" s="36"/>
      <c r="L58" s="32"/>
    </row>
    <row r="59" spans="1:12" ht="12.75">
      <c r="A59" s="33" t="s">
        <v>78</v>
      </c>
      <c r="B59" s="38" t="s">
        <v>79</v>
      </c>
      <c r="C59" s="36">
        <v>882</v>
      </c>
      <c r="D59" s="36">
        <v>756</v>
      </c>
      <c r="E59" s="36">
        <v>756</v>
      </c>
      <c r="F59" s="32">
        <f>E59/D59*100</f>
        <v>100</v>
      </c>
      <c r="G59" s="33" t="s">
        <v>11</v>
      </c>
      <c r="H59" s="38" t="s">
        <v>80</v>
      </c>
      <c r="I59" s="36">
        <v>218</v>
      </c>
      <c r="J59" s="36">
        <v>218</v>
      </c>
      <c r="K59" s="36">
        <v>360</v>
      </c>
      <c r="L59" s="32">
        <f>K59/J59*100</f>
        <v>165.1376146788991</v>
      </c>
    </row>
    <row r="60" spans="1:12" ht="12.75">
      <c r="A60" s="33" t="s">
        <v>81</v>
      </c>
      <c r="B60" s="38" t="s">
        <v>82</v>
      </c>
      <c r="C60" s="36">
        <v>0</v>
      </c>
      <c r="D60" s="36"/>
      <c r="E60" s="35"/>
      <c r="F60" s="32"/>
      <c r="G60" s="33"/>
      <c r="H60" s="38"/>
      <c r="I60" s="36"/>
      <c r="J60" s="36"/>
      <c r="K60" s="36"/>
      <c r="L60" s="32"/>
    </row>
    <row r="61" spans="1:12" ht="12.75">
      <c r="A61" s="29" t="s">
        <v>83</v>
      </c>
      <c r="B61" s="29" t="s">
        <v>84</v>
      </c>
      <c r="C61" s="36">
        <v>500</v>
      </c>
      <c r="D61" s="36">
        <v>500</v>
      </c>
      <c r="E61" s="35">
        <v>620</v>
      </c>
      <c r="F61" s="32">
        <f>E61/D61*100</f>
        <v>124</v>
      </c>
      <c r="G61" s="29" t="s">
        <v>85</v>
      </c>
      <c r="H61" s="29" t="s">
        <v>86</v>
      </c>
      <c r="I61" s="36"/>
      <c r="J61" s="36"/>
      <c r="K61" s="36"/>
      <c r="L61" s="32"/>
    </row>
    <row r="62" spans="1:12" ht="12.75">
      <c r="A62" s="29" t="s">
        <v>87</v>
      </c>
      <c r="B62" s="29" t="s">
        <v>88</v>
      </c>
      <c r="C62" s="36"/>
      <c r="D62" s="36"/>
      <c r="E62" s="35"/>
      <c r="F62" s="32"/>
      <c r="G62" s="29" t="s">
        <v>89</v>
      </c>
      <c r="H62" s="29" t="s">
        <v>90</v>
      </c>
      <c r="I62" s="36">
        <f>SUM(I63:I65)</f>
        <v>0</v>
      </c>
      <c r="J62" s="36">
        <f>SUM(J63:J65)</f>
        <v>275</v>
      </c>
      <c r="K62" s="36"/>
      <c r="L62" s="32"/>
    </row>
    <row r="63" spans="1:12" ht="12.75">
      <c r="A63" s="33"/>
      <c r="B63" s="34" t="s">
        <v>91</v>
      </c>
      <c r="C63" s="36"/>
      <c r="D63" s="36"/>
      <c r="E63" s="35"/>
      <c r="F63" s="32"/>
      <c r="G63" s="33" t="s">
        <v>1</v>
      </c>
      <c r="H63" s="38" t="s">
        <v>92</v>
      </c>
      <c r="I63" s="36"/>
      <c r="J63" s="36"/>
      <c r="K63" s="36"/>
      <c r="L63" s="32"/>
    </row>
    <row r="64" spans="1:12" ht="12.75">
      <c r="A64" s="29" t="s">
        <v>93</v>
      </c>
      <c r="B64" s="29" t="s">
        <v>94</v>
      </c>
      <c r="C64" s="35">
        <v>0</v>
      </c>
      <c r="D64" s="35">
        <v>0</v>
      </c>
      <c r="E64" s="35"/>
      <c r="F64" s="32"/>
      <c r="G64" s="33" t="s">
        <v>3</v>
      </c>
      <c r="H64" s="38" t="s">
        <v>95</v>
      </c>
      <c r="I64" s="36"/>
      <c r="J64" s="36">
        <v>275</v>
      </c>
      <c r="K64" s="36"/>
      <c r="L64" s="32"/>
    </row>
    <row r="65" spans="1:12" ht="12.75">
      <c r="A65" s="29" t="s">
        <v>89</v>
      </c>
      <c r="B65" s="29" t="s">
        <v>96</v>
      </c>
      <c r="C65" s="36">
        <v>186</v>
      </c>
      <c r="D65" s="36">
        <v>439</v>
      </c>
      <c r="E65" s="35">
        <v>439</v>
      </c>
      <c r="F65" s="32">
        <f>E65/D65*100</f>
        <v>100</v>
      </c>
      <c r="G65" s="33"/>
      <c r="H65" s="38"/>
      <c r="I65" s="36"/>
      <c r="J65" s="36"/>
      <c r="K65" s="36"/>
      <c r="L65" s="32"/>
    </row>
    <row r="66" spans="1:12" ht="12.75">
      <c r="A66" s="33"/>
      <c r="B66" s="40" t="s">
        <v>97</v>
      </c>
      <c r="C66" s="41">
        <f>SUM(C51+C52+C57+C61+C62+C64+C65)</f>
        <v>1568</v>
      </c>
      <c r="D66" s="41">
        <f>SUM(D51+D52+D57+D61+D62+D64+D65)</f>
        <v>1695</v>
      </c>
      <c r="E66" s="41">
        <f>SUM(E51+E52+E57+E61+E62+E64+E65)</f>
        <v>1815</v>
      </c>
      <c r="F66" s="42">
        <f>E66/D66*100</f>
        <v>107.07964601769913</v>
      </c>
      <c r="G66" s="33"/>
      <c r="H66" s="40" t="s">
        <v>98</v>
      </c>
      <c r="I66" s="41">
        <f>SUM(I50)</f>
        <v>1568</v>
      </c>
      <c r="J66" s="41">
        <f>SUM(J50)</f>
        <v>1695</v>
      </c>
      <c r="K66" s="41">
        <f>SUM(K50)</f>
        <v>1929</v>
      </c>
      <c r="L66" s="42">
        <f>K66/J66*100</f>
        <v>113.80530973451329</v>
      </c>
    </row>
    <row r="67" spans="1:12" ht="12.75">
      <c r="A67" s="33"/>
      <c r="B67" s="43" t="s">
        <v>99</v>
      </c>
      <c r="C67" s="44">
        <f>I68-C66</f>
        <v>0</v>
      </c>
      <c r="D67" s="44"/>
      <c r="E67" s="44"/>
      <c r="F67" s="32"/>
      <c r="G67" s="33"/>
      <c r="H67" s="38" t="s">
        <v>100</v>
      </c>
      <c r="I67" s="44"/>
      <c r="J67" s="44"/>
      <c r="K67" s="36"/>
      <c r="L67" s="32"/>
    </row>
    <row r="68" spans="1:12" ht="12.75">
      <c r="A68" s="33"/>
      <c r="B68" s="29" t="s">
        <v>101</v>
      </c>
      <c r="C68" s="36"/>
      <c r="D68" s="36"/>
      <c r="E68" s="36"/>
      <c r="F68" s="32"/>
      <c r="G68" s="33"/>
      <c r="H68" s="40" t="s">
        <v>102</v>
      </c>
      <c r="I68" s="41">
        <f>SUM(I50)</f>
        <v>1568</v>
      </c>
      <c r="J68" s="41">
        <f>SUM(J50)</f>
        <v>1695</v>
      </c>
      <c r="K68" s="41">
        <f>SUM(K50)</f>
        <v>1929</v>
      </c>
      <c r="L68" s="42">
        <f>K68/J68*100</f>
        <v>113.80530973451329</v>
      </c>
    </row>
    <row r="69" spans="1:12" ht="12.75">
      <c r="A69" s="29" t="s">
        <v>103</v>
      </c>
      <c r="B69" s="29" t="s">
        <v>104</v>
      </c>
      <c r="C69" s="36"/>
      <c r="D69" s="36"/>
      <c r="E69" s="36"/>
      <c r="F69" s="32"/>
      <c r="G69" s="33"/>
      <c r="H69" s="43" t="s">
        <v>105</v>
      </c>
      <c r="I69" s="36">
        <f>C66-I68</f>
        <v>0</v>
      </c>
      <c r="J69" s="36">
        <f>D66-J68</f>
        <v>0</v>
      </c>
      <c r="K69" s="36"/>
      <c r="L69" s="36"/>
    </row>
    <row r="70" spans="1:12" ht="12.75">
      <c r="A70" s="29" t="s">
        <v>106</v>
      </c>
      <c r="B70" s="29" t="s">
        <v>107</v>
      </c>
      <c r="C70" s="36"/>
      <c r="D70" s="36"/>
      <c r="E70" s="36"/>
      <c r="F70" s="32"/>
      <c r="G70" s="33"/>
      <c r="H70" s="29" t="s">
        <v>108</v>
      </c>
      <c r="I70" s="36"/>
      <c r="J70" s="36"/>
      <c r="K70" s="36"/>
      <c r="L70" s="32"/>
    </row>
    <row r="71" spans="1:12" ht="12.75">
      <c r="A71" s="29" t="s">
        <v>109</v>
      </c>
      <c r="B71" s="29" t="s">
        <v>110</v>
      </c>
      <c r="C71" s="36"/>
      <c r="D71" s="36"/>
      <c r="E71" s="36"/>
      <c r="F71" s="32"/>
      <c r="G71" s="29" t="s">
        <v>61</v>
      </c>
      <c r="H71" s="29" t="s">
        <v>111</v>
      </c>
      <c r="I71" s="36"/>
      <c r="J71" s="36"/>
      <c r="K71" s="36"/>
      <c r="L71" s="32"/>
    </row>
    <row r="72" spans="1:12" ht="12.75">
      <c r="A72" s="29" t="s">
        <v>112</v>
      </c>
      <c r="B72" s="29" t="s">
        <v>113</v>
      </c>
      <c r="C72" s="36"/>
      <c r="D72" s="36"/>
      <c r="E72" s="36"/>
      <c r="F72" s="32"/>
      <c r="G72" s="29" t="s">
        <v>65</v>
      </c>
      <c r="H72" s="29" t="s">
        <v>66</v>
      </c>
      <c r="I72" s="36"/>
      <c r="J72" s="36"/>
      <c r="K72" s="36"/>
      <c r="L72" s="32"/>
    </row>
    <row r="73" spans="1:12" ht="12.75">
      <c r="A73" s="29" t="s">
        <v>61</v>
      </c>
      <c r="B73" s="29" t="s">
        <v>114</v>
      </c>
      <c r="C73" s="36"/>
      <c r="D73" s="36"/>
      <c r="E73" s="36"/>
      <c r="F73" s="32"/>
      <c r="G73" s="33" t="s">
        <v>1</v>
      </c>
      <c r="H73" s="38" t="s">
        <v>69</v>
      </c>
      <c r="I73" s="36"/>
      <c r="J73" s="36"/>
      <c r="K73" s="36"/>
      <c r="L73" s="32"/>
    </row>
    <row r="74" spans="1:12" ht="12.75">
      <c r="A74" s="33" t="s">
        <v>1</v>
      </c>
      <c r="B74" s="45" t="s">
        <v>115</v>
      </c>
      <c r="C74" s="36"/>
      <c r="D74" s="36"/>
      <c r="E74" s="36"/>
      <c r="F74" s="32"/>
      <c r="G74" s="33" t="s">
        <v>3</v>
      </c>
      <c r="H74" s="38" t="s">
        <v>116</v>
      </c>
      <c r="I74" s="36"/>
      <c r="J74" s="36"/>
      <c r="K74" s="36"/>
      <c r="L74" s="32"/>
    </row>
    <row r="75" spans="1:12" ht="12.75">
      <c r="A75" s="33" t="s">
        <v>3</v>
      </c>
      <c r="B75" s="45" t="s">
        <v>117</v>
      </c>
      <c r="C75" s="36"/>
      <c r="D75" s="36"/>
      <c r="E75" s="36"/>
      <c r="F75" s="32"/>
      <c r="G75" s="29" t="s">
        <v>118</v>
      </c>
      <c r="H75" s="29" t="s">
        <v>119</v>
      </c>
      <c r="I75" s="36"/>
      <c r="J75" s="36"/>
      <c r="K75" s="36"/>
      <c r="L75" s="32"/>
    </row>
    <row r="76" spans="1:12" ht="12.75">
      <c r="A76" s="33" t="s">
        <v>5</v>
      </c>
      <c r="B76" s="45" t="s">
        <v>120</v>
      </c>
      <c r="C76" s="36"/>
      <c r="D76" s="36"/>
      <c r="E76" s="36"/>
      <c r="F76" s="32"/>
      <c r="G76" s="33" t="s">
        <v>1</v>
      </c>
      <c r="H76" s="45" t="s">
        <v>121</v>
      </c>
      <c r="I76" s="36"/>
      <c r="J76" s="36"/>
      <c r="K76" s="36"/>
      <c r="L76" s="32"/>
    </row>
    <row r="77" spans="1:12" ht="12.75">
      <c r="A77" s="29" t="s">
        <v>122</v>
      </c>
      <c r="B77" s="29" t="s">
        <v>123</v>
      </c>
      <c r="C77" s="36"/>
      <c r="D77" s="36"/>
      <c r="E77" s="36"/>
      <c r="F77" s="32"/>
      <c r="G77" s="33" t="s">
        <v>3</v>
      </c>
      <c r="H77" s="45" t="s">
        <v>124</v>
      </c>
      <c r="I77" s="36"/>
      <c r="J77" s="36"/>
      <c r="K77" s="36"/>
      <c r="L77" s="32"/>
    </row>
    <row r="78" spans="1:12" ht="12.75">
      <c r="A78" s="29" t="s">
        <v>125</v>
      </c>
      <c r="B78" s="29" t="s">
        <v>126</v>
      </c>
      <c r="C78" s="36"/>
      <c r="D78" s="36"/>
      <c r="E78" s="36"/>
      <c r="F78" s="32"/>
      <c r="G78" s="33" t="s">
        <v>5</v>
      </c>
      <c r="H78" s="38" t="s">
        <v>127</v>
      </c>
      <c r="I78" s="36"/>
      <c r="J78" s="36"/>
      <c r="K78" s="36"/>
      <c r="L78" s="32"/>
    </row>
    <row r="79" spans="1:12" ht="12.75">
      <c r="A79" s="29" t="s">
        <v>118</v>
      </c>
      <c r="B79" s="29" t="s">
        <v>128</v>
      </c>
      <c r="C79" s="36"/>
      <c r="D79" s="36"/>
      <c r="E79" s="36"/>
      <c r="F79" s="32"/>
      <c r="G79" s="29" t="s">
        <v>85</v>
      </c>
      <c r="H79" s="29" t="s">
        <v>129</v>
      </c>
      <c r="I79" s="36"/>
      <c r="J79" s="36"/>
      <c r="K79" s="36"/>
      <c r="L79" s="32"/>
    </row>
    <row r="80" spans="1:12" ht="12.75">
      <c r="A80" s="29" t="s">
        <v>85</v>
      </c>
      <c r="B80" s="29" t="s">
        <v>129</v>
      </c>
      <c r="C80" s="36"/>
      <c r="D80" s="36"/>
      <c r="E80" s="36"/>
      <c r="F80" s="32"/>
      <c r="G80" s="29" t="s">
        <v>89</v>
      </c>
      <c r="H80" s="29" t="s">
        <v>90</v>
      </c>
      <c r="I80" s="36"/>
      <c r="J80" s="36"/>
      <c r="K80" s="36"/>
      <c r="L80" s="32"/>
    </row>
    <row r="81" spans="1:12" ht="12.75">
      <c r="A81" s="29" t="s">
        <v>89</v>
      </c>
      <c r="B81" s="29" t="s">
        <v>96</v>
      </c>
      <c r="C81" s="36"/>
      <c r="D81" s="36"/>
      <c r="E81" s="36"/>
      <c r="F81" s="32"/>
      <c r="G81" s="33" t="s">
        <v>1</v>
      </c>
      <c r="H81" s="38" t="s">
        <v>92</v>
      </c>
      <c r="I81" s="36"/>
      <c r="J81" s="36"/>
      <c r="K81" s="36"/>
      <c r="L81" s="32"/>
    </row>
    <row r="82" spans="1:12" ht="12.75">
      <c r="A82" s="33"/>
      <c r="B82" s="40" t="s">
        <v>130</v>
      </c>
      <c r="C82" s="41">
        <f>SUM(C79:C81)</f>
        <v>0</v>
      </c>
      <c r="D82" s="41">
        <f>SUM(D79:D81)</f>
        <v>0</v>
      </c>
      <c r="E82" s="41">
        <f>SUM(E79:E81)</f>
        <v>0</v>
      </c>
      <c r="F82" s="42"/>
      <c r="G82" s="33" t="s">
        <v>142</v>
      </c>
      <c r="H82" s="40" t="s">
        <v>131</v>
      </c>
      <c r="I82" s="41">
        <f>SUM(I79:I81)</f>
        <v>0</v>
      </c>
      <c r="J82" s="41">
        <f>SUM(J79:J81)</f>
        <v>0</v>
      </c>
      <c r="K82" s="41">
        <f>SUM(K79:K81)</f>
        <v>0</v>
      </c>
      <c r="L82" s="42"/>
    </row>
    <row r="83" spans="1:12" ht="12.75">
      <c r="A83" s="33"/>
      <c r="B83" s="43" t="s">
        <v>134</v>
      </c>
      <c r="C83" s="44"/>
      <c r="D83" s="44"/>
      <c r="E83" s="46"/>
      <c r="F83" s="32"/>
      <c r="G83" s="33" t="s">
        <v>143</v>
      </c>
      <c r="H83" s="38" t="s">
        <v>135</v>
      </c>
      <c r="I83" s="36">
        <f>C82-I82</f>
        <v>0</v>
      </c>
      <c r="J83" s="36">
        <f>D82-J82</f>
        <v>0</v>
      </c>
      <c r="K83" s="36">
        <f>E82-K82</f>
        <v>0</v>
      </c>
      <c r="L83" s="32"/>
    </row>
    <row r="84" spans="1:12" ht="12.75">
      <c r="A84" s="33"/>
      <c r="B84" s="47" t="s">
        <v>136</v>
      </c>
      <c r="C84" s="48">
        <f>SUM(C83+C67)</f>
        <v>0</v>
      </c>
      <c r="D84" s="48">
        <f>SUM(D83+D67)</f>
        <v>0</v>
      </c>
      <c r="E84" s="48">
        <f>SUM(E83+E67)</f>
        <v>0</v>
      </c>
      <c r="F84" s="32"/>
      <c r="G84" s="33" t="s">
        <v>144</v>
      </c>
      <c r="H84" s="47" t="s">
        <v>137</v>
      </c>
      <c r="I84" s="36">
        <f>SUM(I69,I83)</f>
        <v>0</v>
      </c>
      <c r="J84" s="36">
        <f>SUM(J69,J83)</f>
        <v>0</v>
      </c>
      <c r="K84" s="36"/>
      <c r="L84" s="32"/>
    </row>
    <row r="85" spans="1:12" ht="12.75">
      <c r="A85" s="33"/>
      <c r="B85" s="40" t="s">
        <v>145</v>
      </c>
      <c r="C85" s="41">
        <f>SUM(C82+C66+C84)</f>
        <v>1568</v>
      </c>
      <c r="D85" s="41">
        <f>SUM(D82+D66+D84)</f>
        <v>1695</v>
      </c>
      <c r="E85" s="41">
        <f>SUM(E82+E66+E84)</f>
        <v>1815</v>
      </c>
      <c r="F85" s="42">
        <f>E85/D85*100</f>
        <v>107.07964601769913</v>
      </c>
      <c r="G85" s="33" t="s">
        <v>146</v>
      </c>
      <c r="H85" s="40" t="s">
        <v>145</v>
      </c>
      <c r="I85" s="41">
        <f>SUM(I68,I82,I84)</f>
        <v>1568</v>
      </c>
      <c r="J85" s="41">
        <f>SUM(J68,J82,J84)</f>
        <v>1695</v>
      </c>
      <c r="K85" s="41">
        <f>SUM(K68,K82,K84)</f>
        <v>1929</v>
      </c>
      <c r="L85" s="42">
        <f>K85/J85*100</f>
        <v>113.80530973451329</v>
      </c>
    </row>
    <row r="86" spans="1:12" ht="12.75" customHeight="1">
      <c r="A86" s="19" t="s">
        <v>147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2.75">
      <c r="A88" s="20" t="s">
        <v>148</v>
      </c>
      <c r="B88" s="21"/>
      <c r="C88" s="22"/>
      <c r="D88" s="22"/>
      <c r="E88" s="22"/>
      <c r="F88" s="23"/>
      <c r="G88" s="21"/>
      <c r="H88" s="21"/>
      <c r="I88" s="24" t="s">
        <v>43</v>
      </c>
      <c r="J88" s="24"/>
      <c r="K88" s="24"/>
      <c r="L88" s="24"/>
    </row>
    <row r="89" spans="1:12" ht="12.75" customHeight="1">
      <c r="A89" s="25" t="s">
        <v>44</v>
      </c>
      <c r="B89" s="26" t="s">
        <v>45</v>
      </c>
      <c r="C89" s="27" t="s">
        <v>46</v>
      </c>
      <c r="D89" s="27" t="s">
        <v>47</v>
      </c>
      <c r="E89" s="27" t="s">
        <v>48</v>
      </c>
      <c r="F89" s="28" t="s">
        <v>49</v>
      </c>
      <c r="G89" s="25" t="s">
        <v>44</v>
      </c>
      <c r="H89" s="26" t="s">
        <v>50</v>
      </c>
      <c r="I89" s="27" t="s">
        <v>46</v>
      </c>
      <c r="J89" s="27" t="s">
        <v>47</v>
      </c>
      <c r="K89" s="27" t="s">
        <v>48</v>
      </c>
      <c r="L89" s="28" t="s">
        <v>49</v>
      </c>
    </row>
    <row r="90" spans="1:12" ht="12.75" customHeight="1">
      <c r="A90" s="25"/>
      <c r="B90" s="26"/>
      <c r="C90" s="27"/>
      <c r="D90" s="27"/>
      <c r="E90" s="27"/>
      <c r="F90" s="28"/>
      <c r="G90" s="25"/>
      <c r="H90" s="26"/>
      <c r="I90" s="27"/>
      <c r="J90" s="27"/>
      <c r="K90" s="27"/>
      <c r="L90" s="28"/>
    </row>
    <row r="91" spans="1:12" ht="12.75">
      <c r="A91" s="25"/>
      <c r="B91" s="26"/>
      <c r="C91" s="27"/>
      <c r="D91" s="27"/>
      <c r="E91" s="27"/>
      <c r="F91" s="28"/>
      <c r="G91" s="25"/>
      <c r="H91" s="26"/>
      <c r="I91" s="27"/>
      <c r="J91" s="27"/>
      <c r="K91" s="27"/>
      <c r="L91" s="28"/>
    </row>
    <row r="92" spans="1:12" ht="12.75">
      <c r="A92" s="29" t="s">
        <v>51</v>
      </c>
      <c r="B92" s="29" t="s">
        <v>52</v>
      </c>
      <c r="C92" s="30"/>
      <c r="D92" s="30"/>
      <c r="E92" s="30"/>
      <c r="F92" s="31"/>
      <c r="G92" s="29"/>
      <c r="H92" s="29" t="s">
        <v>53</v>
      </c>
      <c r="I92" s="30">
        <f>SUM(I93:I95,I96,I103,I104)</f>
        <v>1148575</v>
      </c>
      <c r="J92" s="30">
        <f>SUM(J93:J95,J96,J103,J104)</f>
        <v>1223067</v>
      </c>
      <c r="K92" s="35">
        <f aca="true" t="shared" si="11" ref="K92:K106">SUM(K134+K176+K218+K260+K302+K344+K386)</f>
        <v>1154516</v>
      </c>
      <c r="L92" s="32">
        <f>K92/J92*100</f>
        <v>94.39515578459725</v>
      </c>
    </row>
    <row r="93" spans="1:12" ht="12.75">
      <c r="A93" s="33" t="s">
        <v>1</v>
      </c>
      <c r="B93" s="34" t="s">
        <v>54</v>
      </c>
      <c r="C93" s="35">
        <f>SUM(C135+C177+C219+C261+C303+C345+C387)</f>
        <v>56599</v>
      </c>
      <c r="D93" s="35">
        <f>SUM(D135+D177+D219+D261+D303+D345+D387)</f>
        <v>60949</v>
      </c>
      <c r="E93" s="35">
        <f>SUM(E135+E177+E219+E261+E303+E345+E387)</f>
        <v>60759</v>
      </c>
      <c r="F93" s="32">
        <f>E93/D93*100</f>
        <v>99.68826395839145</v>
      </c>
      <c r="G93" s="29" t="s">
        <v>51</v>
      </c>
      <c r="H93" s="29" t="s">
        <v>55</v>
      </c>
      <c r="I93" s="36">
        <f aca="true" t="shared" si="12" ref="I93:J95">SUM(I135+I177+I219+I261+I303+I345+I387)</f>
        <v>487260</v>
      </c>
      <c r="J93" s="36">
        <f t="shared" si="12"/>
        <v>494897</v>
      </c>
      <c r="K93" s="36">
        <f t="shared" si="11"/>
        <v>485039</v>
      </c>
      <c r="L93" s="32">
        <f>K93/J93*100</f>
        <v>98.008070366157</v>
      </c>
    </row>
    <row r="94" spans="1:12" ht="12.75">
      <c r="A94" s="33" t="s">
        <v>3</v>
      </c>
      <c r="B94" s="34" t="s">
        <v>56</v>
      </c>
      <c r="C94" s="35">
        <f>SUM(C95:C97)</f>
        <v>281420</v>
      </c>
      <c r="D94" s="35">
        <f>SUM(D95:D97)</f>
        <v>292906</v>
      </c>
      <c r="E94" s="35">
        <f aca="true" t="shared" si="13" ref="E94:E106">SUM(E136+E178+E220+E262+E304+E346+E388)</f>
        <v>293173</v>
      </c>
      <c r="F94" s="32">
        <f aca="true" t="shared" si="14" ref="F94:F127">E94/D94*100</f>
        <v>100.0911555242979</v>
      </c>
      <c r="G94" s="29" t="s">
        <v>57</v>
      </c>
      <c r="H94" s="29" t="s">
        <v>58</v>
      </c>
      <c r="I94" s="36">
        <f t="shared" si="12"/>
        <v>151557</v>
      </c>
      <c r="J94" s="36">
        <f t="shared" si="12"/>
        <v>148431</v>
      </c>
      <c r="K94" s="36">
        <f t="shared" si="11"/>
        <v>146711</v>
      </c>
      <c r="L94" s="32">
        <f aca="true" t="shared" si="15" ref="L94:L127">K94/J94*100</f>
        <v>98.8412124151963</v>
      </c>
    </row>
    <row r="95" spans="1:12" ht="12.75">
      <c r="A95" s="37" t="s">
        <v>59</v>
      </c>
      <c r="B95" s="38" t="s">
        <v>60</v>
      </c>
      <c r="C95" s="36">
        <f aca="true" t="shared" si="16" ref="C95:D97">SUM(C137+C179+C221+C263+C305+C347+C389)</f>
        <v>66800</v>
      </c>
      <c r="D95" s="36">
        <f t="shared" si="16"/>
        <v>82300</v>
      </c>
      <c r="E95" s="35">
        <f t="shared" si="13"/>
        <v>82585</v>
      </c>
      <c r="F95" s="32">
        <f t="shared" si="14"/>
        <v>100.34629404617255</v>
      </c>
      <c r="G95" s="29" t="s">
        <v>61</v>
      </c>
      <c r="H95" s="29" t="s">
        <v>62</v>
      </c>
      <c r="I95" s="36">
        <f t="shared" si="12"/>
        <v>235016</v>
      </c>
      <c r="J95" s="36">
        <f t="shared" si="12"/>
        <v>267021</v>
      </c>
      <c r="K95" s="36">
        <f t="shared" si="11"/>
        <v>253420</v>
      </c>
      <c r="L95" s="32">
        <f t="shared" si="15"/>
        <v>94.90639313012834</v>
      </c>
    </row>
    <row r="96" spans="1:12" ht="12.75">
      <c r="A96" s="37" t="s">
        <v>63</v>
      </c>
      <c r="B96" s="38" t="s">
        <v>64</v>
      </c>
      <c r="C96" s="36">
        <f t="shared" si="16"/>
        <v>211620</v>
      </c>
      <c r="D96" s="36">
        <f t="shared" si="16"/>
        <v>208406</v>
      </c>
      <c r="E96" s="35">
        <f t="shared" si="13"/>
        <v>208569</v>
      </c>
      <c r="F96" s="32">
        <f t="shared" si="14"/>
        <v>100.07821271940347</v>
      </c>
      <c r="G96" s="29" t="s">
        <v>65</v>
      </c>
      <c r="H96" s="29" t="s">
        <v>66</v>
      </c>
      <c r="I96" s="36">
        <f>SUM(I97:I101)</f>
        <v>206881</v>
      </c>
      <c r="J96" s="36">
        <f>SUM(J97:J101)</f>
        <v>245087</v>
      </c>
      <c r="K96" s="36">
        <f t="shared" si="11"/>
        <v>241599</v>
      </c>
      <c r="L96" s="32">
        <f t="shared" si="15"/>
        <v>98.5768319005088</v>
      </c>
    </row>
    <row r="97" spans="1:12" ht="12.75">
      <c r="A97" s="37" t="s">
        <v>67</v>
      </c>
      <c r="B97" s="38" t="s">
        <v>68</v>
      </c>
      <c r="C97" s="36">
        <f t="shared" si="16"/>
        <v>3000</v>
      </c>
      <c r="D97" s="36">
        <f t="shared" si="16"/>
        <v>2200</v>
      </c>
      <c r="E97" s="35">
        <f t="shared" si="13"/>
        <v>2019</v>
      </c>
      <c r="F97" s="32">
        <f t="shared" si="14"/>
        <v>91.77272727272727</v>
      </c>
      <c r="G97" s="33" t="s">
        <v>1</v>
      </c>
      <c r="H97" s="38" t="s">
        <v>69</v>
      </c>
      <c r="I97" s="36">
        <f aca="true" t="shared" si="17" ref="I97:J101">SUM(I139+I181+I223+I265+I307+I349+I391)</f>
        <v>20356</v>
      </c>
      <c r="J97" s="36">
        <f t="shared" si="17"/>
        <v>28642</v>
      </c>
      <c r="K97" s="36">
        <f t="shared" si="11"/>
        <v>28715</v>
      </c>
      <c r="L97" s="32">
        <f t="shared" si="15"/>
        <v>100.25487046993923</v>
      </c>
    </row>
    <row r="98" spans="1:12" ht="12.75">
      <c r="A98" s="39" t="s">
        <v>70</v>
      </c>
      <c r="B98" s="29" t="s">
        <v>71</v>
      </c>
      <c r="C98" s="36"/>
      <c r="D98" s="36"/>
      <c r="E98" s="35">
        <f t="shared" si="13"/>
        <v>0</v>
      </c>
      <c r="F98" s="32"/>
      <c r="G98" s="33" t="s">
        <v>3</v>
      </c>
      <c r="H98" s="38" t="s">
        <v>72</v>
      </c>
      <c r="I98" s="36">
        <f t="shared" si="17"/>
        <v>13972</v>
      </c>
      <c r="J98" s="36">
        <f t="shared" si="17"/>
        <v>13413</v>
      </c>
      <c r="K98" s="36">
        <f t="shared" si="11"/>
        <v>11286</v>
      </c>
      <c r="L98" s="32">
        <f t="shared" si="15"/>
        <v>84.1422500559159</v>
      </c>
    </row>
    <row r="99" spans="1:12" ht="12.75">
      <c r="A99" s="33" t="s">
        <v>1</v>
      </c>
      <c r="B99" s="34" t="s">
        <v>73</v>
      </c>
      <c r="C99" s="35">
        <f>SUM(C100:C102)</f>
        <v>607425</v>
      </c>
      <c r="D99" s="35">
        <f>SUM(D100:D102)</f>
        <v>665913</v>
      </c>
      <c r="E99" s="35">
        <f t="shared" si="13"/>
        <v>668835</v>
      </c>
      <c r="F99" s="32">
        <f t="shared" si="14"/>
        <v>100.43879605894463</v>
      </c>
      <c r="G99" s="33" t="s">
        <v>5</v>
      </c>
      <c r="H99" s="38" t="s">
        <v>74</v>
      </c>
      <c r="I99" s="36">
        <f t="shared" si="17"/>
        <v>166245</v>
      </c>
      <c r="J99" s="36">
        <f t="shared" si="17"/>
        <v>193637</v>
      </c>
      <c r="K99" s="36">
        <f t="shared" si="11"/>
        <v>191505</v>
      </c>
      <c r="L99" s="32">
        <f t="shared" si="15"/>
        <v>98.8989707545562</v>
      </c>
    </row>
    <row r="100" spans="1:12" ht="12.75">
      <c r="A100" s="33" t="s">
        <v>75</v>
      </c>
      <c r="B100" s="38" t="s">
        <v>76</v>
      </c>
      <c r="C100" s="36">
        <f aca="true" t="shared" si="18" ref="C100:D104">SUM(C142+C184+C226+C268+C310+C352+C394)</f>
        <v>415163</v>
      </c>
      <c r="D100" s="36">
        <f t="shared" si="18"/>
        <v>390845</v>
      </c>
      <c r="E100" s="35">
        <f t="shared" si="13"/>
        <v>390845</v>
      </c>
      <c r="F100" s="32">
        <f t="shared" si="14"/>
        <v>100</v>
      </c>
      <c r="G100" s="33" t="s">
        <v>7</v>
      </c>
      <c r="H100" s="38" t="s">
        <v>77</v>
      </c>
      <c r="I100" s="36">
        <f t="shared" si="17"/>
        <v>252</v>
      </c>
      <c r="J100" s="36">
        <f t="shared" si="17"/>
        <v>3339</v>
      </c>
      <c r="K100" s="36">
        <f t="shared" si="11"/>
        <v>3494</v>
      </c>
      <c r="L100" s="32">
        <f t="shared" si="15"/>
        <v>104.64210841569333</v>
      </c>
    </row>
    <row r="101" spans="1:12" ht="12.75">
      <c r="A101" s="33" t="s">
        <v>78</v>
      </c>
      <c r="B101" s="38" t="s">
        <v>79</v>
      </c>
      <c r="C101" s="36">
        <f t="shared" si="18"/>
        <v>0</v>
      </c>
      <c r="D101" s="36">
        <f t="shared" si="18"/>
        <v>93359</v>
      </c>
      <c r="E101" s="35">
        <f t="shared" si="13"/>
        <v>96281</v>
      </c>
      <c r="F101" s="32">
        <f t="shared" si="14"/>
        <v>103.1298535759809</v>
      </c>
      <c r="G101" s="33" t="s">
        <v>11</v>
      </c>
      <c r="H101" s="38" t="s">
        <v>80</v>
      </c>
      <c r="I101" s="36">
        <f t="shared" si="17"/>
        <v>6056</v>
      </c>
      <c r="J101" s="36">
        <f t="shared" si="17"/>
        <v>6056</v>
      </c>
      <c r="K101" s="36">
        <f t="shared" si="11"/>
        <v>6599</v>
      </c>
      <c r="L101" s="32">
        <f t="shared" si="15"/>
        <v>108.9663143989432</v>
      </c>
    </row>
    <row r="102" spans="1:12" ht="12.75">
      <c r="A102" s="33" t="s">
        <v>81</v>
      </c>
      <c r="B102" s="38" t="s">
        <v>82</v>
      </c>
      <c r="C102" s="36">
        <f t="shared" si="18"/>
        <v>192262</v>
      </c>
      <c r="D102" s="36">
        <f t="shared" si="18"/>
        <v>181709</v>
      </c>
      <c r="E102" s="35">
        <f t="shared" si="13"/>
        <v>181709</v>
      </c>
      <c r="F102" s="32">
        <f t="shared" si="14"/>
        <v>100</v>
      </c>
      <c r="G102" s="33"/>
      <c r="H102" s="38"/>
      <c r="I102" s="36"/>
      <c r="J102" s="36"/>
      <c r="K102" s="36">
        <f t="shared" si="11"/>
        <v>0</v>
      </c>
      <c r="L102" s="32"/>
    </row>
    <row r="103" spans="1:12" ht="12.75">
      <c r="A103" s="29" t="s">
        <v>83</v>
      </c>
      <c r="B103" s="29" t="s">
        <v>84</v>
      </c>
      <c r="C103" s="36">
        <f t="shared" si="18"/>
        <v>39725</v>
      </c>
      <c r="D103" s="36">
        <f t="shared" si="18"/>
        <v>75583</v>
      </c>
      <c r="E103" s="35">
        <f t="shared" si="13"/>
        <v>90051</v>
      </c>
      <c r="F103" s="32">
        <f t="shared" si="14"/>
        <v>119.14187052644114</v>
      </c>
      <c r="G103" s="29" t="s">
        <v>85</v>
      </c>
      <c r="H103" s="29" t="s">
        <v>86</v>
      </c>
      <c r="I103" s="36">
        <f>SUM(I145+I187+I229+I271+I313+I355+I397)</f>
        <v>62861</v>
      </c>
      <c r="J103" s="36">
        <f>SUM(J145+J187+J229+J271+J313+J355+J397)</f>
        <v>67331</v>
      </c>
      <c r="K103" s="36">
        <f t="shared" si="11"/>
        <v>27747</v>
      </c>
      <c r="L103" s="32">
        <f t="shared" si="15"/>
        <v>41.209843905481875</v>
      </c>
    </row>
    <row r="104" spans="1:12" ht="12.75">
      <c r="A104" s="29" t="s">
        <v>87</v>
      </c>
      <c r="B104" s="29" t="s">
        <v>88</v>
      </c>
      <c r="C104" s="36">
        <f t="shared" si="18"/>
        <v>0</v>
      </c>
      <c r="D104" s="36">
        <f t="shared" si="18"/>
        <v>96</v>
      </c>
      <c r="E104" s="35">
        <f t="shared" si="13"/>
        <v>716</v>
      </c>
      <c r="F104" s="32"/>
      <c r="G104" s="29" t="s">
        <v>89</v>
      </c>
      <c r="H104" s="29" t="s">
        <v>90</v>
      </c>
      <c r="I104" s="36">
        <f>SUM(I105:I106)</f>
        <v>5000</v>
      </c>
      <c r="J104" s="36">
        <f>SUM(J105:J106)</f>
        <v>300</v>
      </c>
      <c r="K104" s="36">
        <f t="shared" si="11"/>
        <v>0</v>
      </c>
      <c r="L104" s="32">
        <f t="shared" si="15"/>
        <v>0</v>
      </c>
    </row>
    <row r="105" spans="1:12" ht="12.75">
      <c r="A105" s="33"/>
      <c r="B105" s="34" t="s">
        <v>91</v>
      </c>
      <c r="C105" s="36"/>
      <c r="D105" s="36"/>
      <c r="E105" s="35">
        <f t="shared" si="13"/>
        <v>0</v>
      </c>
      <c r="F105" s="32"/>
      <c r="G105" s="33" t="s">
        <v>1</v>
      </c>
      <c r="H105" s="38" t="s">
        <v>92</v>
      </c>
      <c r="I105" s="36">
        <f>SUM(I147+I189+I231+I273+I315+I357+I399)</f>
        <v>0</v>
      </c>
      <c r="J105" s="36">
        <f>SUM(J147+J189+J231+J273+J315+J357+J399)</f>
        <v>0</v>
      </c>
      <c r="K105" s="36">
        <f t="shared" si="11"/>
        <v>0</v>
      </c>
      <c r="L105" s="32"/>
    </row>
    <row r="106" spans="1:12" ht="12.75">
      <c r="A106" s="29" t="s">
        <v>93</v>
      </c>
      <c r="B106" s="29" t="s">
        <v>94</v>
      </c>
      <c r="C106" s="35">
        <f>SUM(C148+C190+C232+C274+C316+C358+C400)</f>
        <v>0</v>
      </c>
      <c r="D106" s="35">
        <f>SUM(D148+D190+D232+D274+D316+D358+D400)</f>
        <v>0</v>
      </c>
      <c r="E106" s="35">
        <f t="shared" si="13"/>
        <v>8824</v>
      </c>
      <c r="F106" s="32"/>
      <c r="G106" s="33" t="s">
        <v>3</v>
      </c>
      <c r="H106" s="38" t="s">
        <v>95</v>
      </c>
      <c r="I106" s="36">
        <f>SUM(I148+I190+I232+I274+I316+I358)</f>
        <v>5000</v>
      </c>
      <c r="J106" s="36">
        <f>SUM(J148+J190+J232+J274+J316+J358)</f>
        <v>300</v>
      </c>
      <c r="K106" s="36">
        <f t="shared" si="11"/>
        <v>0</v>
      </c>
      <c r="L106" s="32"/>
    </row>
    <row r="107" spans="1:12" ht="12.75">
      <c r="A107" s="29" t="s">
        <v>89</v>
      </c>
      <c r="B107" s="29" t="s">
        <v>96</v>
      </c>
      <c r="C107" s="36"/>
      <c r="D107" s="35">
        <f>SUM(D149+D191+D233+D275+D317+D359+D401)</f>
        <v>28152</v>
      </c>
      <c r="E107" s="35">
        <f>SUM(E149+E191+E233+E275+E317+E359+E401)</f>
        <v>15027</v>
      </c>
      <c r="F107" s="32"/>
      <c r="G107" s="33"/>
      <c r="H107" s="38"/>
      <c r="I107" s="36"/>
      <c r="J107" s="36"/>
      <c r="K107" s="36"/>
      <c r="L107" s="32"/>
    </row>
    <row r="108" spans="1:12" ht="12.75">
      <c r="A108" s="33"/>
      <c r="B108" s="40" t="s">
        <v>97</v>
      </c>
      <c r="C108" s="41">
        <f>SUM(C93+C94+C99+C103+C104+C105+C106+C107)</f>
        <v>985169</v>
      </c>
      <c r="D108" s="41">
        <f>SUM(D93+D94+D99+D103+D104+D105+D106+D107)</f>
        <v>1123599</v>
      </c>
      <c r="E108" s="41">
        <f>SUM(E93+E94+E99+E103+E104+E105+E106+E107)</f>
        <v>1137385</v>
      </c>
      <c r="F108" s="42">
        <f>E108/D108*100</f>
        <v>101.22695018418493</v>
      </c>
      <c r="G108" s="33"/>
      <c r="H108" s="40" t="s">
        <v>98</v>
      </c>
      <c r="I108" s="41">
        <f>SUM(I92)</f>
        <v>1148575</v>
      </c>
      <c r="J108" s="41">
        <f>SUM(J92)</f>
        <v>1223067</v>
      </c>
      <c r="K108" s="41">
        <f>SUM(K92)</f>
        <v>1154516</v>
      </c>
      <c r="L108" s="42">
        <f>K108/J108*100</f>
        <v>94.39515578459725</v>
      </c>
    </row>
    <row r="109" spans="1:12" ht="12.75">
      <c r="A109" s="33"/>
      <c r="B109" s="43" t="s">
        <v>99</v>
      </c>
      <c r="C109" s="44">
        <f>I110-C108</f>
        <v>163406</v>
      </c>
      <c r="D109" s="44">
        <f>J110-D108</f>
        <v>99468</v>
      </c>
      <c r="E109" s="44"/>
      <c r="F109" s="32"/>
      <c r="G109" s="33"/>
      <c r="H109" s="38" t="s">
        <v>100</v>
      </c>
      <c r="I109" s="44">
        <f>SUM(I151,I193,I235,I277,I319,I361,I403)</f>
        <v>0</v>
      </c>
      <c r="J109" s="44">
        <f>SUM(J151,J193,J235,J277,J319,J361,J403)</f>
        <v>0</v>
      </c>
      <c r="K109" s="44">
        <f>SUM(K151,K193,K235,K277,K319,K361,K403)</f>
        <v>0</v>
      </c>
      <c r="L109" s="32"/>
    </row>
    <row r="110" spans="1:12" ht="12.75">
      <c r="A110" s="33"/>
      <c r="B110" s="29" t="s">
        <v>101</v>
      </c>
      <c r="C110" s="36"/>
      <c r="D110" s="36"/>
      <c r="E110" s="36"/>
      <c r="F110" s="32"/>
      <c r="G110" s="33"/>
      <c r="H110" s="40" t="s">
        <v>102</v>
      </c>
      <c r="I110" s="41">
        <f>SUM(I93+I94+I95+I96+I103+I104)</f>
        <v>1148575</v>
      </c>
      <c r="J110" s="41">
        <f>SUM(J93+J94+J95+J96+J103+J104)</f>
        <v>1223067</v>
      </c>
      <c r="K110" s="41">
        <f>SUM(K93+K94+K95+K96+K103+K104)</f>
        <v>1154516</v>
      </c>
      <c r="L110" s="42">
        <f>K110/J110*100</f>
        <v>94.39515578459725</v>
      </c>
    </row>
    <row r="111" spans="1:12" ht="12.75">
      <c r="A111" s="29" t="s">
        <v>103</v>
      </c>
      <c r="B111" s="29" t="s">
        <v>104</v>
      </c>
      <c r="C111" s="36">
        <f aca="true" t="shared" si="19" ref="C111:E123">SUM(C153+C195+C237+C279+C321+C363+C405)</f>
        <v>22451</v>
      </c>
      <c r="D111" s="36">
        <f t="shared" si="19"/>
        <v>1000</v>
      </c>
      <c r="E111" s="36">
        <f t="shared" si="19"/>
        <v>4641</v>
      </c>
      <c r="F111" s="32">
        <f t="shared" si="14"/>
        <v>464.1</v>
      </c>
      <c r="G111" s="33"/>
      <c r="H111" s="43" t="s">
        <v>105</v>
      </c>
      <c r="I111" s="36"/>
      <c r="J111" s="36"/>
      <c r="K111" s="36"/>
      <c r="L111" s="32"/>
    </row>
    <row r="112" spans="1:12" ht="12.75">
      <c r="A112" s="29" t="s">
        <v>106</v>
      </c>
      <c r="B112" s="29" t="s">
        <v>107</v>
      </c>
      <c r="C112" s="36">
        <f t="shared" si="19"/>
        <v>10000</v>
      </c>
      <c r="D112" s="36">
        <f t="shared" si="19"/>
        <v>10000</v>
      </c>
      <c r="E112" s="36">
        <f t="shared" si="19"/>
        <v>10867</v>
      </c>
      <c r="F112" s="32">
        <f t="shared" si="14"/>
        <v>108.67</v>
      </c>
      <c r="G112" s="33"/>
      <c r="H112" s="29" t="s">
        <v>108</v>
      </c>
      <c r="I112" s="36"/>
      <c r="J112" s="36"/>
      <c r="K112" s="36"/>
      <c r="L112" s="32"/>
    </row>
    <row r="113" spans="1:12" ht="12.75">
      <c r="A113" s="29" t="s">
        <v>109</v>
      </c>
      <c r="B113" s="29" t="s">
        <v>110</v>
      </c>
      <c r="C113" s="36">
        <f t="shared" si="19"/>
        <v>14011</v>
      </c>
      <c r="D113" s="36">
        <f t="shared" si="19"/>
        <v>24405</v>
      </c>
      <c r="E113" s="36">
        <f t="shared" si="19"/>
        <v>24405</v>
      </c>
      <c r="F113" s="32">
        <f t="shared" si="14"/>
        <v>100</v>
      </c>
      <c r="G113" s="29" t="s">
        <v>61</v>
      </c>
      <c r="H113" s="29" t="s">
        <v>111</v>
      </c>
      <c r="I113" s="36">
        <f>SUM(I155+I197+I239+I281+I323+I365+I407)</f>
        <v>26935</v>
      </c>
      <c r="J113" s="36">
        <f>SUM(J155+J197+J239+J281+J323+J365+J407)</f>
        <v>26935</v>
      </c>
      <c r="K113" s="36">
        <f>SUM(K155+K197+K239+K281+K323+K365+K407)</f>
        <v>15284</v>
      </c>
      <c r="L113" s="32">
        <f t="shared" si="15"/>
        <v>56.74401336550956</v>
      </c>
    </row>
    <row r="114" spans="1:12" ht="12.75">
      <c r="A114" s="29" t="s">
        <v>112</v>
      </c>
      <c r="B114" s="29" t="s">
        <v>113</v>
      </c>
      <c r="C114" s="36">
        <f t="shared" si="19"/>
        <v>0</v>
      </c>
      <c r="D114" s="36">
        <f t="shared" si="19"/>
        <v>9976</v>
      </c>
      <c r="E114" s="36">
        <f t="shared" si="19"/>
        <v>7054</v>
      </c>
      <c r="F114" s="32">
        <f t="shared" si="14"/>
        <v>70.70970328789093</v>
      </c>
      <c r="G114" s="29" t="s">
        <v>65</v>
      </c>
      <c r="H114" s="29" t="s">
        <v>66</v>
      </c>
      <c r="I114" s="36">
        <f>SUM(I115:I116)</f>
        <v>0</v>
      </c>
      <c r="J114" s="36">
        <f>SUM(J115:J116)</f>
        <v>14</v>
      </c>
      <c r="K114" s="36">
        <f>SUM(K156+K198+K240+K282+K324+K366+K408)</f>
        <v>14</v>
      </c>
      <c r="L114" s="32">
        <f t="shared" si="15"/>
        <v>100</v>
      </c>
    </row>
    <row r="115" spans="1:12" ht="12.75">
      <c r="A115" s="29" t="s">
        <v>61</v>
      </c>
      <c r="B115" s="29" t="s">
        <v>114</v>
      </c>
      <c r="C115" s="36">
        <f>SUM(C116:C118)</f>
        <v>4000</v>
      </c>
      <c r="D115" s="36">
        <f>SUM(D116:D118)</f>
        <v>10254</v>
      </c>
      <c r="E115" s="36">
        <f t="shared" si="19"/>
        <v>14088</v>
      </c>
      <c r="F115" s="32">
        <f t="shared" si="14"/>
        <v>137.3902867173786</v>
      </c>
      <c r="G115" s="33" t="s">
        <v>1</v>
      </c>
      <c r="H115" s="38" t="s">
        <v>69</v>
      </c>
      <c r="I115" s="36">
        <f>SUM(I157+I199+I241+I283+I325+I367+I409)</f>
        <v>0</v>
      </c>
      <c r="J115" s="36">
        <f>SUM(J157+J199+J241+J283+J325+J367+J409)</f>
        <v>0</v>
      </c>
      <c r="K115" s="36">
        <f>SUM(K157+K199+K241+K283+K325+K367+K409)</f>
        <v>0</v>
      </c>
      <c r="L115" s="32"/>
    </row>
    <row r="116" spans="1:12" ht="12.75">
      <c r="A116" s="33" t="s">
        <v>1</v>
      </c>
      <c r="B116" s="45" t="s">
        <v>115</v>
      </c>
      <c r="C116" s="36">
        <f aca="true" t="shared" si="20" ref="C116:D123">SUM(C158+C200+C242+C284+C326+C368+C410)</f>
        <v>0</v>
      </c>
      <c r="D116" s="36">
        <f t="shared" si="20"/>
        <v>0</v>
      </c>
      <c r="E116" s="36">
        <f t="shared" si="19"/>
        <v>0</v>
      </c>
      <c r="F116" s="32"/>
      <c r="G116" s="33" t="s">
        <v>3</v>
      </c>
      <c r="H116" s="38" t="s">
        <v>116</v>
      </c>
      <c r="I116" s="36">
        <f>SUM(I158+I200+I242+I284+I326+I368+I410)</f>
        <v>0</v>
      </c>
      <c r="J116" s="36">
        <f>SUM(J158+J200+J242+J284+J326+J368+J410)</f>
        <v>14</v>
      </c>
      <c r="K116" s="36">
        <f>SUM(K158+K200+K242+K284+K326+K368+K410)</f>
        <v>14</v>
      </c>
      <c r="L116" s="32">
        <f t="shared" si="15"/>
        <v>100</v>
      </c>
    </row>
    <row r="117" spans="1:12" ht="12.75">
      <c r="A117" s="33" t="s">
        <v>3</v>
      </c>
      <c r="B117" s="45" t="s">
        <v>117</v>
      </c>
      <c r="C117" s="36">
        <f t="shared" si="20"/>
        <v>4000</v>
      </c>
      <c r="D117" s="36">
        <f t="shared" si="20"/>
        <v>9954</v>
      </c>
      <c r="E117" s="36">
        <f t="shared" si="19"/>
        <v>13788</v>
      </c>
      <c r="F117" s="32">
        <f t="shared" si="14"/>
        <v>138.51717902350813</v>
      </c>
      <c r="G117" s="29" t="s">
        <v>118</v>
      </c>
      <c r="H117" s="29" t="s">
        <v>119</v>
      </c>
      <c r="I117" s="36">
        <f>SUM(I118:I120)</f>
        <v>190047</v>
      </c>
      <c r="J117" s="36">
        <f>SUM(J118:J120)</f>
        <v>161474</v>
      </c>
      <c r="K117" s="36">
        <f>SUM(K118:K120)</f>
        <v>41163</v>
      </c>
      <c r="L117" s="36">
        <f>SUM(L118:L120)</f>
        <v>88.88997463151244</v>
      </c>
    </row>
    <row r="118" spans="1:12" ht="12.75">
      <c r="A118" s="33" t="s">
        <v>5</v>
      </c>
      <c r="B118" s="45" t="s">
        <v>120</v>
      </c>
      <c r="C118" s="36">
        <f t="shared" si="20"/>
        <v>0</v>
      </c>
      <c r="D118" s="36">
        <f t="shared" si="20"/>
        <v>300</v>
      </c>
      <c r="E118" s="36">
        <f t="shared" si="19"/>
        <v>300</v>
      </c>
      <c r="F118" s="32"/>
      <c r="G118" s="33" t="s">
        <v>1</v>
      </c>
      <c r="H118" s="45" t="s">
        <v>121</v>
      </c>
      <c r="I118" s="36">
        <f aca="true" t="shared" si="21" ref="I118:K123">SUM(I160+I202+I244+I286+I328+I370+I412)</f>
        <v>15875</v>
      </c>
      <c r="J118" s="36">
        <f t="shared" si="21"/>
        <v>15875</v>
      </c>
      <c r="K118" s="36">
        <f>SUM(K160+K202+K244+K286+K328+K370+K412)</f>
        <v>10929</v>
      </c>
      <c r="L118" s="32">
        <f t="shared" si="15"/>
        <v>68.84409448818897</v>
      </c>
    </row>
    <row r="119" spans="1:12" ht="12.75">
      <c r="A119" s="29" t="s">
        <v>122</v>
      </c>
      <c r="B119" s="29" t="s">
        <v>123</v>
      </c>
      <c r="C119" s="36">
        <f t="shared" si="20"/>
        <v>58982</v>
      </c>
      <c r="D119" s="36">
        <f t="shared" si="20"/>
        <v>71658</v>
      </c>
      <c r="E119" s="36">
        <f t="shared" si="19"/>
        <v>0</v>
      </c>
      <c r="F119" s="32">
        <f t="shared" si="14"/>
        <v>0</v>
      </c>
      <c r="G119" s="33" t="s">
        <v>3</v>
      </c>
      <c r="H119" s="45" t="s">
        <v>124</v>
      </c>
      <c r="I119" s="36">
        <f t="shared" si="21"/>
        <v>174172</v>
      </c>
      <c r="J119" s="36">
        <f t="shared" si="21"/>
        <v>144289</v>
      </c>
      <c r="K119" s="36">
        <f t="shared" si="21"/>
        <v>28924</v>
      </c>
      <c r="L119" s="32">
        <f t="shared" si="15"/>
        <v>20.04588014332347</v>
      </c>
    </row>
    <row r="120" spans="1:12" ht="12.75">
      <c r="A120" s="29" t="s">
        <v>125</v>
      </c>
      <c r="B120" s="29" t="s">
        <v>126</v>
      </c>
      <c r="C120" s="36">
        <f t="shared" si="20"/>
        <v>1073</v>
      </c>
      <c r="D120" s="36">
        <f t="shared" si="20"/>
        <v>1073</v>
      </c>
      <c r="E120" s="36">
        <f t="shared" si="19"/>
        <v>94</v>
      </c>
      <c r="F120" s="32">
        <f t="shared" si="14"/>
        <v>8.760484622553587</v>
      </c>
      <c r="G120" s="33" t="s">
        <v>5</v>
      </c>
      <c r="H120" s="38" t="s">
        <v>127</v>
      </c>
      <c r="I120" s="36">
        <f t="shared" si="21"/>
        <v>0</v>
      </c>
      <c r="J120" s="36">
        <f t="shared" si="21"/>
        <v>1310</v>
      </c>
      <c r="K120" s="36">
        <f t="shared" si="21"/>
        <v>1310</v>
      </c>
      <c r="L120" s="32"/>
    </row>
    <row r="121" spans="1:12" ht="12.75">
      <c r="A121" s="29" t="s">
        <v>118</v>
      </c>
      <c r="B121" s="29" t="s">
        <v>128</v>
      </c>
      <c r="C121" s="36">
        <f t="shared" si="20"/>
        <v>0</v>
      </c>
      <c r="D121" s="36">
        <f t="shared" si="20"/>
        <v>0</v>
      </c>
      <c r="E121" s="36">
        <f t="shared" si="19"/>
        <v>0</v>
      </c>
      <c r="F121" s="32"/>
      <c r="G121" s="29" t="s">
        <v>85</v>
      </c>
      <c r="H121" s="29" t="s">
        <v>129</v>
      </c>
      <c r="I121" s="36">
        <f t="shared" si="21"/>
        <v>6116</v>
      </c>
      <c r="J121" s="36">
        <f>SUM(J163+J205+J247+J289+J331+J373+J415)</f>
        <v>6116</v>
      </c>
      <c r="K121" s="36">
        <f>SUM(K163+K205+K247+K289+K331+K373+K415)</f>
        <v>6739</v>
      </c>
      <c r="L121" s="32">
        <f t="shared" si="15"/>
        <v>110.18639633747547</v>
      </c>
    </row>
    <row r="122" spans="1:12" ht="12.75">
      <c r="A122" s="29" t="s">
        <v>85</v>
      </c>
      <c r="B122" s="29" t="s">
        <v>129</v>
      </c>
      <c r="C122" s="36">
        <f t="shared" si="20"/>
        <v>0</v>
      </c>
      <c r="D122" s="36">
        <f t="shared" si="20"/>
        <v>0</v>
      </c>
      <c r="E122" s="36">
        <f t="shared" si="19"/>
        <v>0</v>
      </c>
      <c r="F122" s="32"/>
      <c r="G122" s="29" t="s">
        <v>89</v>
      </c>
      <c r="H122" s="29" t="s">
        <v>90</v>
      </c>
      <c r="I122" s="36">
        <f t="shared" si="21"/>
        <v>0</v>
      </c>
      <c r="J122" s="36">
        <f t="shared" si="21"/>
        <v>153046</v>
      </c>
      <c r="K122" s="36">
        <f t="shared" si="21"/>
        <v>0</v>
      </c>
      <c r="L122" s="32">
        <f t="shared" si="15"/>
        <v>0</v>
      </c>
    </row>
    <row r="123" spans="1:12" ht="12.75">
      <c r="A123" s="29" t="s">
        <v>89</v>
      </c>
      <c r="B123" s="29" t="s">
        <v>96</v>
      </c>
      <c r="C123" s="36">
        <f t="shared" si="20"/>
        <v>112581</v>
      </c>
      <c r="D123" s="36">
        <f t="shared" si="20"/>
        <v>219219</v>
      </c>
      <c r="E123" s="36">
        <f t="shared" si="19"/>
        <v>26648</v>
      </c>
      <c r="F123" s="32">
        <f t="shared" si="14"/>
        <v>12.155880649031333</v>
      </c>
      <c r="G123" s="33" t="s">
        <v>1</v>
      </c>
      <c r="H123" s="38" t="s">
        <v>92</v>
      </c>
      <c r="I123" s="36">
        <f t="shared" si="21"/>
        <v>0</v>
      </c>
      <c r="J123" s="36">
        <f t="shared" si="21"/>
        <v>153046</v>
      </c>
      <c r="K123" s="36">
        <f t="shared" si="21"/>
        <v>0</v>
      </c>
      <c r="L123" s="32">
        <f t="shared" si="15"/>
        <v>0</v>
      </c>
    </row>
    <row r="124" spans="1:12" ht="12.75">
      <c r="A124" s="33"/>
      <c r="B124" s="40" t="s">
        <v>130</v>
      </c>
      <c r="C124" s="41">
        <f>SUM(C111+C112+C113+C114+C115+C119+C120+C121+C122+C123)</f>
        <v>223098</v>
      </c>
      <c r="D124" s="41">
        <f>SUM(D111+D112+D113+D114+D115+D119+D120+D121+D122+D123)</f>
        <v>347585</v>
      </c>
      <c r="E124" s="41">
        <f>SUM(E111+E112+E113+E114+E115+E119+E120+E121+E122+E123)</f>
        <v>87797</v>
      </c>
      <c r="F124" s="42">
        <f t="shared" si="14"/>
        <v>25.259145245047975</v>
      </c>
      <c r="G124" s="33" t="s">
        <v>142</v>
      </c>
      <c r="H124" s="40" t="s">
        <v>131</v>
      </c>
      <c r="I124" s="41">
        <f>SUM(I113+I114+I117+I121+I122)</f>
        <v>223098</v>
      </c>
      <c r="J124" s="41">
        <f>SUM(J113+J114+J117+J121+J122)</f>
        <v>347585</v>
      </c>
      <c r="K124" s="41">
        <f>SUM(K113+K114+K117+K121+K122)</f>
        <v>63200</v>
      </c>
      <c r="L124" s="42">
        <f t="shared" si="15"/>
        <v>18.18260281657724</v>
      </c>
    </row>
    <row r="125" spans="1:12" ht="12.75">
      <c r="A125" s="33"/>
      <c r="B125" s="43" t="s">
        <v>134</v>
      </c>
      <c r="C125" s="44">
        <f>I124-C124</f>
        <v>0</v>
      </c>
      <c r="D125" s="44"/>
      <c r="E125" s="44"/>
      <c r="F125" s="32"/>
      <c r="G125" s="33" t="s">
        <v>143</v>
      </c>
      <c r="H125" s="38" t="s">
        <v>135</v>
      </c>
      <c r="I125" s="36"/>
      <c r="J125" s="36">
        <f>D124-J124</f>
        <v>0</v>
      </c>
      <c r="K125" s="36"/>
      <c r="L125" s="32"/>
    </row>
    <row r="126" spans="1:12" ht="12.75">
      <c r="A126" s="33"/>
      <c r="B126" s="47" t="s">
        <v>136</v>
      </c>
      <c r="C126" s="48">
        <f>SUM(C125+C109)</f>
        <v>163406</v>
      </c>
      <c r="D126" s="48">
        <f>SUM(D125+D109)</f>
        <v>99468</v>
      </c>
      <c r="E126" s="48"/>
      <c r="F126" s="32"/>
      <c r="G126" s="33" t="s">
        <v>144</v>
      </c>
      <c r="H126" s="47" t="s">
        <v>137</v>
      </c>
      <c r="I126" s="35">
        <f>SUM(I109,I125)</f>
        <v>0</v>
      </c>
      <c r="J126" s="35">
        <f>SUM(J109,J125)</f>
        <v>0</v>
      </c>
      <c r="K126" s="35"/>
      <c r="L126" s="32"/>
    </row>
    <row r="127" spans="1:12" ht="12.75">
      <c r="A127" s="33"/>
      <c r="B127" s="40" t="s">
        <v>149</v>
      </c>
      <c r="C127" s="41">
        <f>SUM(C124+C108+C126)</f>
        <v>1371673</v>
      </c>
      <c r="D127" s="41">
        <f>SUM(D124+D108+D126)</f>
        <v>1570652</v>
      </c>
      <c r="E127" s="41">
        <f>SUM(E124+E108+E126)</f>
        <v>1225182</v>
      </c>
      <c r="F127" s="42">
        <f t="shared" si="14"/>
        <v>78.00467576522362</v>
      </c>
      <c r="G127" s="33" t="s">
        <v>146</v>
      </c>
      <c r="H127" s="40" t="s">
        <v>150</v>
      </c>
      <c r="I127" s="41">
        <f>SUM(I110,I124,I126)</f>
        <v>1371673</v>
      </c>
      <c r="J127" s="41">
        <f>SUM(J110,J124,J126)</f>
        <v>1570652</v>
      </c>
      <c r="K127" s="41">
        <f>SUM(K110,K124,K126)</f>
        <v>1217716</v>
      </c>
      <c r="L127" s="42">
        <f t="shared" si="15"/>
        <v>77.52933176795369</v>
      </c>
    </row>
    <row r="128" spans="1:12" ht="12.75" customHeight="1">
      <c r="A128" s="19" t="s">
        <v>151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ht="12.75">
      <c r="A130" s="20" t="s">
        <v>148</v>
      </c>
      <c r="B130" s="21"/>
      <c r="C130" s="22"/>
      <c r="D130" s="22"/>
      <c r="E130" s="22"/>
      <c r="F130" s="23"/>
      <c r="G130" s="21"/>
      <c r="H130" s="21"/>
      <c r="I130" s="24" t="s">
        <v>43</v>
      </c>
      <c r="J130" s="24"/>
      <c r="K130" s="24"/>
      <c r="L130" s="24"/>
    </row>
    <row r="131" spans="1:12" ht="12.75" customHeight="1">
      <c r="A131" s="25" t="s">
        <v>44</v>
      </c>
      <c r="B131" s="26" t="s">
        <v>45</v>
      </c>
      <c r="C131" s="27" t="s">
        <v>46</v>
      </c>
      <c r="D131" s="27" t="s">
        <v>47</v>
      </c>
      <c r="E131" s="27" t="s">
        <v>48</v>
      </c>
      <c r="F131" s="28" t="s">
        <v>49</v>
      </c>
      <c r="G131" s="25" t="s">
        <v>44</v>
      </c>
      <c r="H131" s="26" t="s">
        <v>50</v>
      </c>
      <c r="I131" s="27" t="s">
        <v>46</v>
      </c>
      <c r="J131" s="27" t="s">
        <v>47</v>
      </c>
      <c r="K131" s="27" t="s">
        <v>48</v>
      </c>
      <c r="L131" s="28" t="s">
        <v>49</v>
      </c>
    </row>
    <row r="132" spans="1:12" ht="12.75" customHeight="1">
      <c r="A132" s="25"/>
      <c r="B132" s="26"/>
      <c r="C132" s="27"/>
      <c r="D132" s="27"/>
      <c r="E132" s="27"/>
      <c r="F132" s="28"/>
      <c r="G132" s="25"/>
      <c r="H132" s="26"/>
      <c r="I132" s="27"/>
      <c r="J132" s="27"/>
      <c r="K132" s="27"/>
      <c r="L132" s="28"/>
    </row>
    <row r="133" spans="1:12" ht="12.75">
      <c r="A133" s="25"/>
      <c r="B133" s="26"/>
      <c r="C133" s="27"/>
      <c r="D133" s="27"/>
      <c r="E133" s="27"/>
      <c r="F133" s="28"/>
      <c r="G133" s="25"/>
      <c r="H133" s="26"/>
      <c r="I133" s="27"/>
      <c r="J133" s="27"/>
      <c r="K133" s="27"/>
      <c r="L133" s="28"/>
    </row>
    <row r="134" spans="1:12" ht="12.75">
      <c r="A134" s="29" t="s">
        <v>51</v>
      </c>
      <c r="B134" s="29" t="s">
        <v>52</v>
      </c>
      <c r="C134" s="30"/>
      <c r="D134" s="30"/>
      <c r="E134" s="30"/>
      <c r="F134" s="31"/>
      <c r="G134" s="29"/>
      <c r="H134" s="29" t="s">
        <v>53</v>
      </c>
      <c r="I134" s="30">
        <f>SUM(I135:I137,I138,I145,I146)</f>
        <v>592081</v>
      </c>
      <c r="J134" s="30">
        <f>SUM(J135:J137,J138,J145,J146)</f>
        <v>624714</v>
      </c>
      <c r="K134" s="30">
        <f>SUM(K135:K137,K138,K145,K146)</f>
        <v>552833</v>
      </c>
      <c r="L134" s="32">
        <f aca="true" t="shared" si="22" ref="L134:L142">K134/J134*100</f>
        <v>88.4937747513262</v>
      </c>
    </row>
    <row r="135" spans="1:12" ht="12.75">
      <c r="A135" s="33" t="s">
        <v>1</v>
      </c>
      <c r="B135" s="34" t="s">
        <v>54</v>
      </c>
      <c r="C135" s="35">
        <v>15591</v>
      </c>
      <c r="D135" s="49">
        <v>32721</v>
      </c>
      <c r="E135" s="49">
        <f>4321+7+733+351+1875+57+7+43+795+18+856+1622+16+23023-3500+521+180+1</f>
        <v>30926</v>
      </c>
      <c r="F135" s="32">
        <f>E135/D135*100</f>
        <v>94.51422633782586</v>
      </c>
      <c r="G135" s="29" t="s">
        <v>51</v>
      </c>
      <c r="H135" s="29" t="s">
        <v>55</v>
      </c>
      <c r="I135" s="44">
        <v>188375</v>
      </c>
      <c r="J135" s="44">
        <v>167257</v>
      </c>
      <c r="K135" s="50">
        <v>161366</v>
      </c>
      <c r="L135" s="32">
        <f t="shared" si="22"/>
        <v>96.47787536545556</v>
      </c>
    </row>
    <row r="136" spans="1:12" ht="12.75">
      <c r="A136" s="33" t="s">
        <v>3</v>
      </c>
      <c r="B136" s="34" t="s">
        <v>56</v>
      </c>
      <c r="C136" s="48">
        <f>SUM(C137:C139)</f>
        <v>281420</v>
      </c>
      <c r="D136" s="48">
        <f>SUM(D137:D139)</f>
        <v>292906</v>
      </c>
      <c r="E136" s="48">
        <f>SUM(E137:E139)</f>
        <v>293173</v>
      </c>
      <c r="F136" s="32">
        <f aca="true" t="shared" si="23" ref="F136:F169">E136/D136*100</f>
        <v>100.0911555242979</v>
      </c>
      <c r="G136" s="29" t="s">
        <v>57</v>
      </c>
      <c r="H136" s="29" t="s">
        <v>58</v>
      </c>
      <c r="I136" s="44">
        <v>54261</v>
      </c>
      <c r="J136" s="44">
        <v>51614</v>
      </c>
      <c r="K136" s="50">
        <v>47779</v>
      </c>
      <c r="L136" s="32">
        <f t="shared" si="22"/>
        <v>92.56984539078545</v>
      </c>
    </row>
    <row r="137" spans="1:12" ht="12.75">
      <c r="A137" s="37" t="s">
        <v>59</v>
      </c>
      <c r="B137" s="38" t="s">
        <v>60</v>
      </c>
      <c r="C137" s="44">
        <v>66800</v>
      </c>
      <c r="D137" s="44">
        <f>1800+80500</f>
        <v>82300</v>
      </c>
      <c r="E137" s="48">
        <f>2078+80507</f>
        <v>82585</v>
      </c>
      <c r="F137" s="32">
        <f t="shared" si="23"/>
        <v>100.34629404617255</v>
      </c>
      <c r="G137" s="29" t="s">
        <v>61</v>
      </c>
      <c r="H137" s="29" t="s">
        <v>62</v>
      </c>
      <c r="I137" s="44">
        <v>95779</v>
      </c>
      <c r="J137" s="51">
        <f>73666+69153-25935-1000</f>
        <v>115884</v>
      </c>
      <c r="K137" s="52">
        <f>8398+44004+18710+45177-15284+357</f>
        <v>101362</v>
      </c>
      <c r="L137" s="32">
        <f t="shared" si="22"/>
        <v>87.46850298574437</v>
      </c>
    </row>
    <row r="138" spans="1:12" ht="12.75">
      <c r="A138" s="37" t="s">
        <v>63</v>
      </c>
      <c r="B138" s="38" t="s">
        <v>64</v>
      </c>
      <c r="C138" s="44">
        <v>211620</v>
      </c>
      <c r="D138" s="44">
        <v>208406</v>
      </c>
      <c r="E138" s="48">
        <f>33100+146155+26760+60+47+56+2391</f>
        <v>208569</v>
      </c>
      <c r="F138" s="32">
        <f t="shared" si="23"/>
        <v>100.07821271940347</v>
      </c>
      <c r="G138" s="29" t="s">
        <v>65</v>
      </c>
      <c r="H138" s="29" t="s">
        <v>66</v>
      </c>
      <c r="I138" s="36">
        <f>SUM(I139:I143)</f>
        <v>185805</v>
      </c>
      <c r="J138" s="36">
        <f>SUM(J139:J143)</f>
        <v>222328</v>
      </c>
      <c r="K138" s="36">
        <f>SUM(K139:K143)</f>
        <v>214579</v>
      </c>
      <c r="L138" s="32">
        <f t="shared" si="22"/>
        <v>96.51460904609405</v>
      </c>
    </row>
    <row r="139" spans="1:12" ht="12.75">
      <c r="A139" s="37" t="s">
        <v>67</v>
      </c>
      <c r="B139" s="38" t="s">
        <v>68</v>
      </c>
      <c r="C139" s="44">
        <v>3000</v>
      </c>
      <c r="D139" s="44">
        <v>2200</v>
      </c>
      <c r="E139" s="48">
        <v>2019</v>
      </c>
      <c r="F139" s="32">
        <f t="shared" si="23"/>
        <v>91.77272727272727</v>
      </c>
      <c r="G139" s="33" t="s">
        <v>1</v>
      </c>
      <c r="H139" s="38" t="s">
        <v>69</v>
      </c>
      <c r="I139" s="44">
        <f>500+3000+1300+275+513</f>
        <v>5588</v>
      </c>
      <c r="J139" s="44">
        <v>12191</v>
      </c>
      <c r="K139" s="50">
        <f>24+8203+283</f>
        <v>8510</v>
      </c>
      <c r="L139" s="32">
        <f t="shared" si="22"/>
        <v>69.8055942908703</v>
      </c>
    </row>
    <row r="140" spans="1:12" ht="12.75">
      <c r="A140" s="39" t="s">
        <v>70</v>
      </c>
      <c r="B140" s="29" t="s">
        <v>71</v>
      </c>
      <c r="C140" s="44"/>
      <c r="D140" s="44"/>
      <c r="E140" s="48"/>
      <c r="F140" s="32"/>
      <c r="G140" s="33" t="s">
        <v>3</v>
      </c>
      <c r="H140" s="38" t="s">
        <v>72</v>
      </c>
      <c r="I140" s="44">
        <v>13972</v>
      </c>
      <c r="J140" s="44">
        <v>13413</v>
      </c>
      <c r="K140" s="50">
        <f>24+2077+8235+950</f>
        <v>11286</v>
      </c>
      <c r="L140" s="32">
        <f t="shared" si="22"/>
        <v>84.1422500559159</v>
      </c>
    </row>
    <row r="141" spans="1:12" ht="12.75">
      <c r="A141" s="33" t="s">
        <v>1</v>
      </c>
      <c r="B141" s="34" t="s">
        <v>73</v>
      </c>
      <c r="C141" s="48">
        <f>SUM(C142:C144)</f>
        <v>284826</v>
      </c>
      <c r="D141" s="48">
        <f>SUM(D142:D144)</f>
        <v>313761</v>
      </c>
      <c r="E141" s="48">
        <f>SUM(E142:E144)</f>
        <v>313828</v>
      </c>
      <c r="F141" s="32">
        <f t="shared" si="23"/>
        <v>100.02135383301302</v>
      </c>
      <c r="G141" s="33" t="s">
        <v>5</v>
      </c>
      <c r="H141" s="38" t="s">
        <v>74</v>
      </c>
      <c r="I141" s="44">
        <f>16355+149890</f>
        <v>166245</v>
      </c>
      <c r="J141" s="44">
        <v>193637</v>
      </c>
      <c r="K141" s="50">
        <v>191505</v>
      </c>
      <c r="L141" s="32">
        <f t="shared" si="22"/>
        <v>98.8989707545562</v>
      </c>
    </row>
    <row r="142" spans="1:12" ht="12.75">
      <c r="A142" s="33" t="s">
        <v>75</v>
      </c>
      <c r="B142" s="38" t="s">
        <v>76</v>
      </c>
      <c r="C142" s="44">
        <v>94106</v>
      </c>
      <c r="D142" s="44">
        <f>108115-24405</f>
        <v>83710</v>
      </c>
      <c r="E142" s="48">
        <f>108183-24405</f>
        <v>83778</v>
      </c>
      <c r="F142" s="32">
        <f t="shared" si="23"/>
        <v>100.08123282761916</v>
      </c>
      <c r="G142" s="33" t="s">
        <v>7</v>
      </c>
      <c r="H142" s="38" t="s">
        <v>77</v>
      </c>
      <c r="I142" s="36">
        <v>0</v>
      </c>
      <c r="J142" s="44">
        <v>3087</v>
      </c>
      <c r="K142" s="50">
        <v>3278</v>
      </c>
      <c r="L142" s="32">
        <f t="shared" si="22"/>
        <v>106.1872367994817</v>
      </c>
    </row>
    <row r="143" spans="1:12" ht="12.75">
      <c r="A143" s="33" t="s">
        <v>78</v>
      </c>
      <c r="B143" s="38" t="s">
        <v>79</v>
      </c>
      <c r="C143" s="44">
        <v>0</v>
      </c>
      <c r="D143" s="44">
        <v>49860</v>
      </c>
      <c r="E143" s="48">
        <f>49860-1</f>
        <v>49859</v>
      </c>
      <c r="F143" s="32">
        <f t="shared" si="23"/>
        <v>99.99799438427597</v>
      </c>
      <c r="G143" s="33" t="s">
        <v>11</v>
      </c>
      <c r="H143" s="38" t="s">
        <v>80</v>
      </c>
      <c r="I143" s="36">
        <v>0</v>
      </c>
      <c r="J143" s="36"/>
      <c r="K143" s="30">
        <v>0</v>
      </c>
      <c r="L143" s="32"/>
    </row>
    <row r="144" spans="1:12" ht="12.75">
      <c r="A144" s="33" t="s">
        <v>81</v>
      </c>
      <c r="B144" s="38" t="s">
        <v>82</v>
      </c>
      <c r="C144" s="44">
        <v>190720</v>
      </c>
      <c r="D144" s="44">
        <v>180191</v>
      </c>
      <c r="E144" s="48">
        <v>180191</v>
      </c>
      <c r="F144" s="32">
        <f t="shared" si="23"/>
        <v>100</v>
      </c>
      <c r="G144" s="33"/>
      <c r="H144" s="38"/>
      <c r="I144" s="36"/>
      <c r="J144" s="36"/>
      <c r="K144" s="30"/>
      <c r="L144" s="32"/>
    </row>
    <row r="145" spans="1:12" ht="12.75">
      <c r="A145" s="29" t="s">
        <v>83</v>
      </c>
      <c r="B145" s="29" t="s">
        <v>84</v>
      </c>
      <c r="C145" s="44">
        <v>320</v>
      </c>
      <c r="D145" s="51">
        <v>28737</v>
      </c>
      <c r="E145" s="53">
        <f>1114+17128+10846-1</f>
        <v>29087</v>
      </c>
      <c r="F145" s="32">
        <f t="shared" si="23"/>
        <v>101.21794202595957</v>
      </c>
      <c r="G145" s="29" t="s">
        <v>85</v>
      </c>
      <c r="H145" s="29" t="s">
        <v>86</v>
      </c>
      <c r="I145" s="44">
        <v>62861</v>
      </c>
      <c r="J145" s="44">
        <v>67331</v>
      </c>
      <c r="K145" s="50">
        <v>27747</v>
      </c>
      <c r="L145" s="32">
        <f>K145/J145*100</f>
        <v>41.209843905481875</v>
      </c>
    </row>
    <row r="146" spans="1:12" ht="12.75">
      <c r="A146" s="29" t="s">
        <v>87</v>
      </c>
      <c r="B146" s="29" t="s">
        <v>88</v>
      </c>
      <c r="C146" s="44"/>
      <c r="D146" s="44">
        <v>24</v>
      </c>
      <c r="E146" s="48">
        <v>24</v>
      </c>
      <c r="F146" s="32"/>
      <c r="G146" s="29" t="s">
        <v>89</v>
      </c>
      <c r="H146" s="29" t="s">
        <v>90</v>
      </c>
      <c r="I146" s="36">
        <f>SUM(I147:I148)</f>
        <v>5000</v>
      </c>
      <c r="J146" s="36">
        <f>SUM(J147:J148)</f>
        <v>300</v>
      </c>
      <c r="K146" s="36">
        <f>SUM(K147:K148)</f>
        <v>0</v>
      </c>
      <c r="L146" s="32">
        <f>K146/J146*100</f>
        <v>0</v>
      </c>
    </row>
    <row r="147" spans="1:12" ht="12.75">
      <c r="A147" s="33"/>
      <c r="B147" s="34" t="s">
        <v>91</v>
      </c>
      <c r="C147" s="44"/>
      <c r="D147" s="44"/>
      <c r="E147" s="48"/>
      <c r="F147" s="32"/>
      <c r="G147" s="33" t="s">
        <v>1</v>
      </c>
      <c r="H147" s="38" t="s">
        <v>92</v>
      </c>
      <c r="I147" s="36"/>
      <c r="J147" s="36"/>
      <c r="K147" s="30"/>
      <c r="L147" s="32"/>
    </row>
    <row r="148" spans="1:12" ht="12.75">
      <c r="A148" s="29" t="s">
        <v>93</v>
      </c>
      <c r="B148" s="29" t="s">
        <v>94</v>
      </c>
      <c r="C148" s="48">
        <v>0</v>
      </c>
      <c r="D148" s="53"/>
      <c r="E148" s="53">
        <f>5000+3824</f>
        <v>8824</v>
      </c>
      <c r="F148" s="32"/>
      <c r="G148" s="33" t="s">
        <v>3</v>
      </c>
      <c r="H148" s="38" t="s">
        <v>95</v>
      </c>
      <c r="I148" s="44">
        <v>5000</v>
      </c>
      <c r="J148" s="44">
        <v>300</v>
      </c>
      <c r="K148" s="30"/>
      <c r="L148" s="32"/>
    </row>
    <row r="149" spans="1:12" ht="12.75">
      <c r="A149" s="29" t="s">
        <v>89</v>
      </c>
      <c r="B149" s="29" t="s">
        <v>96</v>
      </c>
      <c r="C149" s="36"/>
      <c r="D149" s="36">
        <v>28152</v>
      </c>
      <c r="E149" s="36">
        <v>15027</v>
      </c>
      <c r="F149" s="32"/>
      <c r="G149" s="33"/>
      <c r="H149" s="38"/>
      <c r="I149" s="36"/>
      <c r="J149" s="36"/>
      <c r="K149" s="36"/>
      <c r="L149" s="32"/>
    </row>
    <row r="150" spans="1:12" ht="12.75">
      <c r="A150" s="33"/>
      <c r="B150" s="40" t="s">
        <v>97</v>
      </c>
      <c r="C150" s="41">
        <f>SUM(C135+C136+C141+C145+C146+C147+C148+C149)</f>
        <v>582157</v>
      </c>
      <c r="D150" s="41">
        <f>SUM(D135+D136+D141+D145+D146+D147+D148+D149)</f>
        <v>696301</v>
      </c>
      <c r="E150" s="41">
        <f>SUM(E135+E136+E141+E145+E146+E147+E148+E149)</f>
        <v>690889</v>
      </c>
      <c r="F150" s="42">
        <f>E150/D150*100</f>
        <v>99.22274993142334</v>
      </c>
      <c r="G150" s="33"/>
      <c r="H150" s="40" t="s">
        <v>98</v>
      </c>
      <c r="I150" s="41">
        <f>SUM(I134)</f>
        <v>592081</v>
      </c>
      <c r="J150" s="41">
        <f>SUM(J134)</f>
        <v>624714</v>
      </c>
      <c r="K150" s="41">
        <f>SUM(K134)</f>
        <v>552833</v>
      </c>
      <c r="L150" s="42">
        <f>K150/J150*100</f>
        <v>88.4937747513262</v>
      </c>
    </row>
    <row r="151" spans="1:12" ht="12.75">
      <c r="A151" s="33"/>
      <c r="B151" s="43" t="s">
        <v>99</v>
      </c>
      <c r="C151" s="44">
        <f>I152-C150</f>
        <v>9924</v>
      </c>
      <c r="D151" s="44"/>
      <c r="E151" s="44"/>
      <c r="F151" s="32"/>
      <c r="G151" s="33"/>
      <c r="H151" s="38" t="s">
        <v>100</v>
      </c>
      <c r="I151" s="44"/>
      <c r="J151" s="44"/>
      <c r="K151" s="36">
        <f>2455-5089</f>
        <v>-2634</v>
      </c>
      <c r="L151" s="32"/>
    </row>
    <row r="152" spans="1:12" ht="12.75">
      <c r="A152" s="33"/>
      <c r="B152" s="29" t="s">
        <v>101</v>
      </c>
      <c r="C152" s="36"/>
      <c r="D152" s="36"/>
      <c r="E152" s="36"/>
      <c r="F152" s="32"/>
      <c r="G152" s="33"/>
      <c r="H152" s="40" t="s">
        <v>102</v>
      </c>
      <c r="I152" s="41">
        <f>SUM(I135+I136+I137+I138+I145+I146)</f>
        <v>592081</v>
      </c>
      <c r="J152" s="41">
        <f>SUM(J135+J136+J137+J138+J145+J146)</f>
        <v>624714</v>
      </c>
      <c r="K152" s="41">
        <f>SUM(K135+K136+K137+K138+K145+K146)</f>
        <v>552833</v>
      </c>
      <c r="L152" s="42">
        <f>K152/J152*100</f>
        <v>88.4937747513262</v>
      </c>
    </row>
    <row r="153" spans="1:12" ht="12.75">
      <c r="A153" s="29" t="s">
        <v>103</v>
      </c>
      <c r="B153" s="29" t="s">
        <v>104</v>
      </c>
      <c r="C153" s="36">
        <v>22451</v>
      </c>
      <c r="D153" s="36">
        <v>1000</v>
      </c>
      <c r="E153" s="36">
        <f>3500+1141</f>
        <v>4641</v>
      </c>
      <c r="F153" s="32"/>
      <c r="G153" s="33"/>
      <c r="H153" s="43" t="s">
        <v>105</v>
      </c>
      <c r="I153" s="36"/>
      <c r="J153" s="36">
        <f>D150-J152</f>
        <v>71587</v>
      </c>
      <c r="K153" s="36"/>
      <c r="L153" s="32"/>
    </row>
    <row r="154" spans="1:12" ht="12.75">
      <c r="A154" s="29" t="s">
        <v>106</v>
      </c>
      <c r="B154" s="29" t="s">
        <v>152</v>
      </c>
      <c r="C154" s="36">
        <v>10000</v>
      </c>
      <c r="D154" s="36">
        <v>10000</v>
      </c>
      <c r="E154" s="36">
        <v>10867</v>
      </c>
      <c r="F154" s="32">
        <f t="shared" si="23"/>
        <v>108.67</v>
      </c>
      <c r="G154" s="33"/>
      <c r="H154" s="29" t="s">
        <v>108</v>
      </c>
      <c r="I154" s="36"/>
      <c r="J154" s="36"/>
      <c r="K154" s="36"/>
      <c r="L154" s="32"/>
    </row>
    <row r="155" spans="1:12" ht="12.75">
      <c r="A155" s="29" t="s">
        <v>109</v>
      </c>
      <c r="B155" s="29" t="s">
        <v>110</v>
      </c>
      <c r="C155" s="36">
        <v>14011</v>
      </c>
      <c r="D155" s="36">
        <v>24405</v>
      </c>
      <c r="E155" s="36">
        <v>24405</v>
      </c>
      <c r="F155" s="32">
        <f t="shared" si="23"/>
        <v>100</v>
      </c>
      <c r="G155" s="29" t="s">
        <v>61</v>
      </c>
      <c r="H155" s="29" t="s">
        <v>111</v>
      </c>
      <c r="I155" s="44">
        <v>26935</v>
      </c>
      <c r="J155" s="44">
        <f>25935+1000</f>
        <v>26935</v>
      </c>
      <c r="K155" s="44">
        <v>15284</v>
      </c>
      <c r="L155" s="32"/>
    </row>
    <row r="156" spans="1:12" ht="12.75">
      <c r="A156" s="29" t="s">
        <v>112</v>
      </c>
      <c r="B156" s="29" t="s">
        <v>113</v>
      </c>
      <c r="C156" s="36"/>
      <c r="D156" s="36">
        <v>6443</v>
      </c>
      <c r="E156" s="36">
        <v>6444</v>
      </c>
      <c r="F156" s="32"/>
      <c r="G156" s="29" t="s">
        <v>65</v>
      </c>
      <c r="H156" s="29" t="s">
        <v>66</v>
      </c>
      <c r="I156" s="36">
        <f>SUM(I157:I158)</f>
        <v>0</v>
      </c>
      <c r="J156" s="44">
        <f>SUM(J157:J158)</f>
        <v>14</v>
      </c>
      <c r="K156" s="44">
        <f>SUM(K157:K158)</f>
        <v>14</v>
      </c>
      <c r="L156" s="32">
        <f>K156/J156*100</f>
        <v>100</v>
      </c>
    </row>
    <row r="157" spans="1:12" ht="12.75">
      <c r="A157" s="29" t="s">
        <v>61</v>
      </c>
      <c r="B157" s="29" t="s">
        <v>114</v>
      </c>
      <c r="C157" s="36">
        <f>SUM(C158:C160)</f>
        <v>4000</v>
      </c>
      <c r="D157" s="36">
        <f>SUM(D158:D160)</f>
        <v>9374</v>
      </c>
      <c r="E157" s="36">
        <f>SUM(E158:E160)</f>
        <v>12688</v>
      </c>
      <c r="F157" s="32">
        <f t="shared" si="23"/>
        <v>135.35310433112866</v>
      </c>
      <c r="G157" s="33" t="s">
        <v>1</v>
      </c>
      <c r="H157" s="38" t="s">
        <v>69</v>
      </c>
      <c r="I157" s="36"/>
      <c r="J157" s="36"/>
      <c r="K157" s="36"/>
      <c r="L157" s="32"/>
    </row>
    <row r="158" spans="1:12" ht="12.75">
      <c r="A158" s="33" t="s">
        <v>1</v>
      </c>
      <c r="B158" s="45" t="s">
        <v>115</v>
      </c>
      <c r="C158" s="36"/>
      <c r="D158" s="36"/>
      <c r="E158" s="36"/>
      <c r="F158" s="32"/>
      <c r="G158" s="33" t="s">
        <v>3</v>
      </c>
      <c r="H158" s="38" t="s">
        <v>116</v>
      </c>
      <c r="I158" s="36"/>
      <c r="J158" s="44">
        <v>14</v>
      </c>
      <c r="K158" s="44">
        <v>14</v>
      </c>
      <c r="L158" s="32">
        <f>K158/J158*100</f>
        <v>100</v>
      </c>
    </row>
    <row r="159" spans="1:12" ht="12.75">
      <c r="A159" s="33" t="s">
        <v>3</v>
      </c>
      <c r="B159" s="45" t="s">
        <v>117</v>
      </c>
      <c r="C159" s="44">
        <v>4000</v>
      </c>
      <c r="D159" s="44">
        <v>9074</v>
      </c>
      <c r="E159" s="44">
        <v>12388</v>
      </c>
      <c r="F159" s="32">
        <f t="shared" si="23"/>
        <v>136.52193079127179</v>
      </c>
      <c r="G159" s="29" t="s">
        <v>118</v>
      </c>
      <c r="H159" s="29" t="s">
        <v>119</v>
      </c>
      <c r="I159" s="36">
        <f>SUM(I160:I162)</f>
        <v>190047</v>
      </c>
      <c r="J159" s="36">
        <f>SUM(J160:J162)</f>
        <v>157941</v>
      </c>
      <c r="K159" s="36">
        <f>SUM(K160:K162)</f>
        <v>40326</v>
      </c>
      <c r="L159" s="32">
        <f>K159/J159*100</f>
        <v>25.532319030524057</v>
      </c>
    </row>
    <row r="160" spans="1:12" ht="12.75">
      <c r="A160" s="33" t="s">
        <v>5</v>
      </c>
      <c r="B160" s="45" t="s">
        <v>120</v>
      </c>
      <c r="C160" s="36"/>
      <c r="D160" s="36">
        <v>300</v>
      </c>
      <c r="E160" s="36">
        <v>300</v>
      </c>
      <c r="F160" s="32"/>
      <c r="G160" s="33" t="s">
        <v>1</v>
      </c>
      <c r="H160" s="45" t="s">
        <v>121</v>
      </c>
      <c r="I160" s="44">
        <v>15875</v>
      </c>
      <c r="J160" s="44">
        <v>15875</v>
      </c>
      <c r="K160" s="44">
        <f>638+8551+1740</f>
        <v>10929</v>
      </c>
      <c r="L160" s="32">
        <f>K160/J160*100</f>
        <v>68.84409448818897</v>
      </c>
    </row>
    <row r="161" spans="1:12" ht="12.75">
      <c r="A161" s="29" t="s">
        <v>122</v>
      </c>
      <c r="B161" s="29" t="s">
        <v>123</v>
      </c>
      <c r="C161" s="44">
        <f>52835+6147</f>
        <v>58982</v>
      </c>
      <c r="D161" s="51">
        <v>71658</v>
      </c>
      <c r="E161" s="44">
        <f>0</f>
        <v>0</v>
      </c>
      <c r="F161" s="32">
        <f t="shared" si="23"/>
        <v>0</v>
      </c>
      <c r="G161" s="33" t="s">
        <v>3</v>
      </c>
      <c r="H161" s="45" t="s">
        <v>124</v>
      </c>
      <c r="I161" s="44">
        <v>174172</v>
      </c>
      <c r="J161" s="44">
        <v>140756</v>
      </c>
      <c r="K161" s="44">
        <f>1246+245+16696+4054-62+799+4929+180</f>
        <v>28087</v>
      </c>
      <c r="L161" s="32">
        <f>K161/J161*100</f>
        <v>19.954389155702064</v>
      </c>
    </row>
    <row r="162" spans="1:12" ht="12.75">
      <c r="A162" s="29" t="s">
        <v>125</v>
      </c>
      <c r="B162" s="29" t="s">
        <v>126</v>
      </c>
      <c r="C162" s="44">
        <v>1073</v>
      </c>
      <c r="D162" s="44">
        <f>1073</f>
        <v>1073</v>
      </c>
      <c r="E162" s="44">
        <f>94</f>
        <v>94</v>
      </c>
      <c r="F162" s="32">
        <f t="shared" si="23"/>
        <v>8.760484622553587</v>
      </c>
      <c r="G162" s="33" t="s">
        <v>5</v>
      </c>
      <c r="H162" s="38" t="s">
        <v>127</v>
      </c>
      <c r="I162" s="36"/>
      <c r="J162" s="44">
        <v>1310</v>
      </c>
      <c r="K162" s="44">
        <v>1310</v>
      </c>
      <c r="L162" s="32"/>
    </row>
    <row r="163" spans="1:12" ht="12.75">
      <c r="A163" s="29" t="s">
        <v>118</v>
      </c>
      <c r="B163" s="29" t="s">
        <v>128</v>
      </c>
      <c r="C163" s="36">
        <v>0</v>
      </c>
      <c r="D163" s="36"/>
      <c r="E163" s="36"/>
      <c r="F163" s="32"/>
      <c r="G163" s="29" t="s">
        <v>85</v>
      </c>
      <c r="H163" s="29" t="s">
        <v>129</v>
      </c>
      <c r="I163" s="44">
        <v>6116</v>
      </c>
      <c r="J163" s="44">
        <v>6116</v>
      </c>
      <c r="K163" s="44">
        <v>6449</v>
      </c>
      <c r="L163" s="32">
        <f>K163/J163*100</f>
        <v>105.44473512099411</v>
      </c>
    </row>
    <row r="164" spans="1:12" ht="12.75">
      <c r="A164" s="29" t="s">
        <v>85</v>
      </c>
      <c r="B164" s="29" t="s">
        <v>129</v>
      </c>
      <c r="C164" s="36">
        <v>0</v>
      </c>
      <c r="D164" s="36"/>
      <c r="E164" s="36"/>
      <c r="F164" s="32"/>
      <c r="G164" s="29" t="s">
        <v>89</v>
      </c>
      <c r="H164" s="29" t="s">
        <v>90</v>
      </c>
      <c r="I164" s="35">
        <f>SUM(I165)</f>
        <v>0</v>
      </c>
      <c r="J164" s="35">
        <f>SUM(J165)</f>
        <v>152166</v>
      </c>
      <c r="K164" s="35">
        <f>SUM(K165)</f>
        <v>0</v>
      </c>
      <c r="L164" s="32"/>
    </row>
    <row r="165" spans="1:12" ht="12.75">
      <c r="A165" s="29" t="s">
        <v>89</v>
      </c>
      <c r="B165" s="29" t="s">
        <v>96</v>
      </c>
      <c r="C165" s="44">
        <v>112581</v>
      </c>
      <c r="D165" s="44">
        <v>219219</v>
      </c>
      <c r="E165" s="44">
        <v>26648</v>
      </c>
      <c r="F165" s="32">
        <f t="shared" si="23"/>
        <v>12.155880649031333</v>
      </c>
      <c r="G165" s="33" t="s">
        <v>1</v>
      </c>
      <c r="H165" s="38" t="s">
        <v>92</v>
      </c>
      <c r="I165" s="36"/>
      <c r="J165" s="54">
        <v>152166</v>
      </c>
      <c r="K165" s="36"/>
      <c r="L165" s="32"/>
    </row>
    <row r="166" spans="1:12" ht="12.75">
      <c r="A166" s="33"/>
      <c r="B166" s="40" t="s">
        <v>153</v>
      </c>
      <c r="C166" s="41">
        <f>SUM(C153+C154+C155+C156+C157+C161+C162+C163+C164+C165)</f>
        <v>223098</v>
      </c>
      <c r="D166" s="41">
        <f>SUM(D153+D154+D155+D156+D157+D161+D162+D163+D164+D165)</f>
        <v>343172</v>
      </c>
      <c r="E166" s="41">
        <f>SUM(E153+E154+E155+E156+E157+E161+E162+E163+E164+E165)</f>
        <v>85787</v>
      </c>
      <c r="F166" s="42">
        <f t="shared" si="23"/>
        <v>24.99825160560885</v>
      </c>
      <c r="G166" s="33" t="s">
        <v>142</v>
      </c>
      <c r="H166" s="40" t="s">
        <v>153</v>
      </c>
      <c r="I166" s="41">
        <f>SUM(I155+I156+I159+I163+I164)</f>
        <v>223098</v>
      </c>
      <c r="J166" s="41">
        <f>SUM(J155+J156+J159+J163+J164)</f>
        <v>343172</v>
      </c>
      <c r="K166" s="41">
        <f>SUM(K155+K156+K159+K163+K164)</f>
        <v>62073</v>
      </c>
      <c r="L166" s="42">
        <f>K166/J166*100</f>
        <v>18.088014173650528</v>
      </c>
    </row>
    <row r="167" spans="1:12" ht="12.75">
      <c r="A167" s="33"/>
      <c r="B167" s="43" t="s">
        <v>134</v>
      </c>
      <c r="C167" s="44">
        <f>I166-C166</f>
        <v>0</v>
      </c>
      <c r="D167" s="44"/>
      <c r="E167" s="44"/>
      <c r="F167" s="32"/>
      <c r="G167" s="33" t="s">
        <v>143</v>
      </c>
      <c r="H167" s="38" t="s">
        <v>135</v>
      </c>
      <c r="I167" s="36">
        <f>C166-I166</f>
        <v>0</v>
      </c>
      <c r="J167" s="36">
        <f>D166-J166</f>
        <v>0</v>
      </c>
      <c r="K167" s="36"/>
      <c r="L167" s="32"/>
    </row>
    <row r="168" spans="1:12" ht="12.75">
      <c r="A168" s="33"/>
      <c r="B168" s="47" t="s">
        <v>136</v>
      </c>
      <c r="C168" s="48">
        <f>SUM(C167+C151)</f>
        <v>9924</v>
      </c>
      <c r="D168" s="48"/>
      <c r="E168" s="48"/>
      <c r="F168" s="32"/>
      <c r="G168" s="33" t="s">
        <v>144</v>
      </c>
      <c r="H168" s="47" t="s">
        <v>137</v>
      </c>
      <c r="I168" s="35">
        <f>SUM(I153,I167)</f>
        <v>0</v>
      </c>
      <c r="J168" s="35">
        <f>SUM(J153,J167)</f>
        <v>71587</v>
      </c>
      <c r="K168" s="35">
        <f>SUM(K153,K167)</f>
        <v>0</v>
      </c>
      <c r="L168" s="32"/>
    </row>
    <row r="169" spans="1:12" ht="12.75">
      <c r="A169" s="33"/>
      <c r="B169" s="40" t="s">
        <v>149</v>
      </c>
      <c r="C169" s="41">
        <f>SUM(C166+C150+C168)</f>
        <v>815179</v>
      </c>
      <c r="D169" s="41">
        <f>SUM(D166+D150+D168)</f>
        <v>1039473</v>
      </c>
      <c r="E169" s="41">
        <f>SUM(E166+E150+E168)</f>
        <v>776676</v>
      </c>
      <c r="F169" s="42">
        <f t="shared" si="23"/>
        <v>74.71824664998513</v>
      </c>
      <c r="G169" s="33" t="s">
        <v>146</v>
      </c>
      <c r="H169" s="40" t="s">
        <v>150</v>
      </c>
      <c r="I169" s="41">
        <f>SUM(I152,I166,I168)</f>
        <v>815179</v>
      </c>
      <c r="J169" s="41">
        <f>SUM(J152,J166,J168)</f>
        <v>1039473</v>
      </c>
      <c r="K169" s="41">
        <f>SUM(K152,K166,K168)</f>
        <v>614906</v>
      </c>
      <c r="L169" s="42">
        <f>K169/J169*100</f>
        <v>59.155552861882896</v>
      </c>
    </row>
    <row r="170" spans="1:12" ht="12.75" customHeight="1">
      <c r="A170" s="19" t="s">
        <v>154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1:12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1:12" ht="12.75">
      <c r="A172" s="20" t="s">
        <v>148</v>
      </c>
      <c r="B172" s="21"/>
      <c r="C172" s="22"/>
      <c r="D172" s="22"/>
      <c r="E172" s="22"/>
      <c r="F172" s="23"/>
      <c r="G172" s="21"/>
      <c r="H172" s="21"/>
      <c r="I172" s="24" t="s">
        <v>43</v>
      </c>
      <c r="J172" s="24"/>
      <c r="K172" s="24"/>
      <c r="L172" s="24"/>
    </row>
    <row r="173" spans="1:12" ht="12.75" customHeight="1">
      <c r="A173" s="25" t="s">
        <v>44</v>
      </c>
      <c r="B173" s="26"/>
      <c r="C173" s="27" t="s">
        <v>46</v>
      </c>
      <c r="D173" s="27" t="s">
        <v>47</v>
      </c>
      <c r="E173" s="27" t="s">
        <v>48</v>
      </c>
      <c r="F173" s="28" t="s">
        <v>49</v>
      </c>
      <c r="G173" s="25" t="s">
        <v>44</v>
      </c>
      <c r="H173" s="26" t="s">
        <v>50</v>
      </c>
      <c r="I173" s="27" t="s">
        <v>46</v>
      </c>
      <c r="J173" s="27" t="s">
        <v>47</v>
      </c>
      <c r="K173" s="27" t="s">
        <v>48</v>
      </c>
      <c r="L173" s="28" t="s">
        <v>49</v>
      </c>
    </row>
    <row r="174" spans="1:12" ht="12.75" customHeight="1">
      <c r="A174" s="25"/>
      <c r="B174" s="26"/>
      <c r="C174" s="27"/>
      <c r="D174" s="27"/>
      <c r="E174" s="27"/>
      <c r="F174" s="28"/>
      <c r="G174" s="25"/>
      <c r="H174" s="26"/>
      <c r="I174" s="27"/>
      <c r="J174" s="27"/>
      <c r="K174" s="27"/>
      <c r="L174" s="28"/>
    </row>
    <row r="175" spans="1:12" ht="12.75">
      <c r="A175" s="25"/>
      <c r="B175" s="26"/>
      <c r="C175" s="27"/>
      <c r="D175" s="27"/>
      <c r="E175" s="27"/>
      <c r="F175" s="28"/>
      <c r="G175" s="25"/>
      <c r="H175" s="26"/>
      <c r="I175" s="27"/>
      <c r="J175" s="27"/>
      <c r="K175" s="27"/>
      <c r="L175" s="28"/>
    </row>
    <row r="176" spans="1:12" ht="12.75">
      <c r="A176" s="29" t="s">
        <v>51</v>
      </c>
      <c r="B176" s="29" t="s">
        <v>52</v>
      </c>
      <c r="C176" s="50"/>
      <c r="D176" s="50"/>
      <c r="E176" s="50"/>
      <c r="F176" s="31"/>
      <c r="G176" s="29"/>
      <c r="H176" s="29" t="s">
        <v>53</v>
      </c>
      <c r="I176" s="30">
        <f>SUM(I177:I179,I180,I187,I188)</f>
        <v>274896</v>
      </c>
      <c r="J176" s="30">
        <f>SUM(J177:J179,J180,J187,J188)</f>
        <v>315651</v>
      </c>
      <c r="K176" s="30">
        <f>SUM(K177:K179,K180,K187,K188)</f>
        <v>310661</v>
      </c>
      <c r="L176" s="32">
        <f aca="true" t="shared" si="24" ref="L176:L181">K176/J176*100</f>
        <v>98.4191401262787</v>
      </c>
    </row>
    <row r="177" spans="1:12" ht="12.75">
      <c r="A177" s="33" t="s">
        <v>1</v>
      </c>
      <c r="B177" s="34" t="s">
        <v>54</v>
      </c>
      <c r="C177" s="48">
        <v>11403</v>
      </c>
      <c r="D177" s="48">
        <v>4503</v>
      </c>
      <c r="E177" s="48">
        <f>10+401+2920+1043+697+100+801</f>
        <v>5972</v>
      </c>
      <c r="F177" s="32">
        <f>E177/D177*100</f>
        <v>132.62269598045748</v>
      </c>
      <c r="G177" s="29" t="s">
        <v>51</v>
      </c>
      <c r="H177" s="29" t="s">
        <v>55</v>
      </c>
      <c r="I177" s="44">
        <f>164207-450</f>
        <v>163757</v>
      </c>
      <c r="J177" s="44">
        <v>182527</v>
      </c>
      <c r="K177" s="44">
        <f>171366+8567</f>
        <v>179933</v>
      </c>
      <c r="L177" s="32">
        <f t="shared" si="24"/>
        <v>98.57884039073672</v>
      </c>
    </row>
    <row r="178" spans="1:12" ht="12.75">
      <c r="A178" s="33" t="s">
        <v>3</v>
      </c>
      <c r="B178" s="34" t="s">
        <v>56</v>
      </c>
      <c r="C178" s="35">
        <v>0</v>
      </c>
      <c r="D178" s="35">
        <f>SUM(D179:D181)</f>
        <v>0</v>
      </c>
      <c r="E178" s="35">
        <f>SUM(E179:E181)</f>
        <v>0</v>
      </c>
      <c r="F178" s="32"/>
      <c r="G178" s="29" t="s">
        <v>57</v>
      </c>
      <c r="H178" s="29" t="s">
        <v>58</v>
      </c>
      <c r="I178" s="44">
        <v>52905</v>
      </c>
      <c r="J178" s="44">
        <v>55140</v>
      </c>
      <c r="K178" s="44">
        <v>54167</v>
      </c>
      <c r="L178" s="32">
        <f t="shared" si="24"/>
        <v>98.23540079796881</v>
      </c>
    </row>
    <row r="179" spans="1:12" ht="12.75">
      <c r="A179" s="37" t="s">
        <v>59</v>
      </c>
      <c r="B179" s="38" t="s">
        <v>60</v>
      </c>
      <c r="C179" s="36">
        <v>0</v>
      </c>
      <c r="D179" s="36"/>
      <c r="E179" s="35"/>
      <c r="F179" s="32"/>
      <c r="G179" s="29" t="s">
        <v>61</v>
      </c>
      <c r="H179" s="29" t="s">
        <v>62</v>
      </c>
      <c r="I179" s="44">
        <v>42086</v>
      </c>
      <c r="J179" s="44">
        <v>60174</v>
      </c>
      <c r="K179" s="44">
        <f>8407+29726+20792+461-358</f>
        <v>59028</v>
      </c>
      <c r="L179" s="32">
        <f t="shared" si="24"/>
        <v>98.09552298334829</v>
      </c>
    </row>
    <row r="180" spans="1:12" ht="12.75">
      <c r="A180" s="37" t="s">
        <v>63</v>
      </c>
      <c r="B180" s="38" t="s">
        <v>64</v>
      </c>
      <c r="C180" s="36"/>
      <c r="D180" s="36"/>
      <c r="E180" s="35"/>
      <c r="F180" s="32"/>
      <c r="G180" s="29" t="s">
        <v>65</v>
      </c>
      <c r="H180" s="29" t="s">
        <v>66</v>
      </c>
      <c r="I180" s="36">
        <f>SUM(I181:I185)</f>
        <v>16148</v>
      </c>
      <c r="J180" s="36">
        <f>SUM(J181:J185)</f>
        <v>17810</v>
      </c>
      <c r="K180" s="36">
        <f>SUM(K181:K185)</f>
        <v>17533</v>
      </c>
      <c r="L180" s="32">
        <f t="shared" si="24"/>
        <v>98.44469399213924</v>
      </c>
    </row>
    <row r="181" spans="1:12" ht="12.75">
      <c r="A181" s="37" t="s">
        <v>67</v>
      </c>
      <c r="B181" s="38" t="s">
        <v>68</v>
      </c>
      <c r="C181" s="36"/>
      <c r="D181" s="36"/>
      <c r="E181" s="35"/>
      <c r="F181" s="32"/>
      <c r="G181" s="33" t="s">
        <v>1</v>
      </c>
      <c r="H181" s="38" t="s">
        <v>69</v>
      </c>
      <c r="I181" s="44">
        <v>9840</v>
      </c>
      <c r="J181" s="44">
        <v>11502</v>
      </c>
      <c r="K181" s="44">
        <v>10718</v>
      </c>
      <c r="L181" s="32">
        <f t="shared" si="24"/>
        <v>93.18379412276126</v>
      </c>
    </row>
    <row r="182" spans="1:12" ht="12.75">
      <c r="A182" s="39" t="s">
        <v>70</v>
      </c>
      <c r="B182" s="29" t="s">
        <v>71</v>
      </c>
      <c r="C182" s="36"/>
      <c r="D182" s="36"/>
      <c r="E182" s="35"/>
      <c r="F182" s="32"/>
      <c r="G182" s="33" t="s">
        <v>3</v>
      </c>
      <c r="H182" s="38" t="s">
        <v>72</v>
      </c>
      <c r="I182" s="36"/>
      <c r="J182" s="36"/>
      <c r="K182" s="36"/>
      <c r="L182" s="32"/>
    </row>
    <row r="183" spans="1:12" ht="12.75">
      <c r="A183" s="33" t="s">
        <v>1</v>
      </c>
      <c r="B183" s="34" t="s">
        <v>73</v>
      </c>
      <c r="C183" s="35">
        <f>SUM(C184:C186)</f>
        <v>195751</v>
      </c>
      <c r="D183" s="35">
        <f>SUM(D184:D186)</f>
        <v>215300</v>
      </c>
      <c r="E183" s="35">
        <f>SUM(E184:E186)</f>
        <v>217660</v>
      </c>
      <c r="F183" s="32">
        <f>E183/D183*100</f>
        <v>101.09614491407339</v>
      </c>
      <c r="G183" s="33" t="s">
        <v>5</v>
      </c>
      <c r="H183" s="38" t="s">
        <v>74</v>
      </c>
      <c r="I183" s="36">
        <v>0</v>
      </c>
      <c r="J183" s="36"/>
      <c r="K183" s="36"/>
      <c r="L183" s="32"/>
    </row>
    <row r="184" spans="1:12" ht="12.75">
      <c r="A184" s="33" t="s">
        <v>75</v>
      </c>
      <c r="B184" s="38" t="s">
        <v>76</v>
      </c>
      <c r="C184" s="44">
        <v>194681</v>
      </c>
      <c r="D184" s="44">
        <v>186115</v>
      </c>
      <c r="E184" s="48">
        <v>186116</v>
      </c>
      <c r="F184" s="32">
        <f>E184/D184*100</f>
        <v>100.00053730220561</v>
      </c>
      <c r="G184" s="33" t="s">
        <v>7</v>
      </c>
      <c r="H184" s="38" t="s">
        <v>77</v>
      </c>
      <c r="I184" s="44">
        <v>252</v>
      </c>
      <c r="J184" s="44">
        <v>252</v>
      </c>
      <c r="K184" s="44">
        <v>216</v>
      </c>
      <c r="L184" s="32">
        <f>K184/J184*100</f>
        <v>85.71428571428571</v>
      </c>
    </row>
    <row r="185" spans="1:12" ht="12.75">
      <c r="A185" s="33" t="s">
        <v>78</v>
      </c>
      <c r="B185" s="38" t="s">
        <v>155</v>
      </c>
      <c r="C185" s="44">
        <v>0</v>
      </c>
      <c r="D185" s="44">
        <v>28139</v>
      </c>
      <c r="E185" s="48">
        <f>28139+2849-490</f>
        <v>30498</v>
      </c>
      <c r="F185" s="32">
        <f>E185/D185*100</f>
        <v>108.3833824940474</v>
      </c>
      <c r="G185" s="33" t="s">
        <v>11</v>
      </c>
      <c r="H185" s="38" t="s">
        <v>80</v>
      </c>
      <c r="I185" s="44">
        <v>6056</v>
      </c>
      <c r="J185" s="44">
        <v>6056</v>
      </c>
      <c r="K185" s="44">
        <v>6599</v>
      </c>
      <c r="L185" s="32">
        <f>K185/J185*100</f>
        <v>108.9663143989432</v>
      </c>
    </row>
    <row r="186" spans="1:12" ht="12.75">
      <c r="A186" s="33" t="s">
        <v>81</v>
      </c>
      <c r="B186" s="38" t="s">
        <v>82</v>
      </c>
      <c r="C186" s="44">
        <v>1070</v>
      </c>
      <c r="D186" s="44">
        <v>1046</v>
      </c>
      <c r="E186" s="48">
        <f>755+291</f>
        <v>1046</v>
      </c>
      <c r="F186" s="32">
        <f>E186/D186*100</f>
        <v>100</v>
      </c>
      <c r="G186" s="33"/>
      <c r="H186" s="38"/>
      <c r="I186" s="36"/>
      <c r="J186" s="36"/>
      <c r="K186" s="36"/>
      <c r="L186" s="32"/>
    </row>
    <row r="187" spans="1:12" ht="12.75">
      <c r="A187" s="29" t="s">
        <v>83</v>
      </c>
      <c r="B187" s="29" t="s">
        <v>84</v>
      </c>
      <c r="C187" s="44">
        <v>7054</v>
      </c>
      <c r="D187" s="44">
        <v>16252</v>
      </c>
      <c r="E187" s="48">
        <f>3068+2590+9990+8044+931</f>
        <v>24623</v>
      </c>
      <c r="F187" s="32">
        <f>E187/D187*100</f>
        <v>151.50750676839772</v>
      </c>
      <c r="G187" s="29" t="s">
        <v>85</v>
      </c>
      <c r="H187" s="29" t="s">
        <v>86</v>
      </c>
      <c r="I187" s="36"/>
      <c r="J187" s="36"/>
      <c r="K187" s="36"/>
      <c r="L187" s="32"/>
    </row>
    <row r="188" spans="1:12" ht="12.75">
      <c r="A188" s="29" t="s">
        <v>87</v>
      </c>
      <c r="B188" s="29" t="s">
        <v>88</v>
      </c>
      <c r="C188" s="36"/>
      <c r="D188" s="36"/>
      <c r="E188" s="54">
        <v>200</v>
      </c>
      <c r="F188" s="32"/>
      <c r="G188" s="29" t="s">
        <v>89</v>
      </c>
      <c r="H188" s="29" t="s">
        <v>90</v>
      </c>
      <c r="I188" s="36"/>
      <c r="J188" s="36"/>
      <c r="K188" s="36"/>
      <c r="L188" s="32"/>
    </row>
    <row r="189" spans="1:12" ht="12.75">
      <c r="A189" s="33"/>
      <c r="B189" s="38" t="s">
        <v>156</v>
      </c>
      <c r="C189" s="36"/>
      <c r="D189" s="36"/>
      <c r="E189" s="36"/>
      <c r="F189" s="32"/>
      <c r="G189" s="33" t="s">
        <v>1</v>
      </c>
      <c r="H189" s="38" t="s">
        <v>92</v>
      </c>
      <c r="I189" s="36"/>
      <c r="J189" s="36"/>
      <c r="K189" s="36"/>
      <c r="L189" s="32"/>
    </row>
    <row r="190" spans="1:12" ht="12.75">
      <c r="A190" s="29" t="s">
        <v>93</v>
      </c>
      <c r="B190" s="29" t="s">
        <v>94</v>
      </c>
      <c r="C190" s="35">
        <v>0</v>
      </c>
      <c r="D190" s="35"/>
      <c r="E190" s="35"/>
      <c r="F190" s="32"/>
      <c r="G190" s="33" t="s">
        <v>3</v>
      </c>
      <c r="H190" s="38" t="s">
        <v>95</v>
      </c>
      <c r="I190" s="36"/>
      <c r="J190" s="36"/>
      <c r="K190" s="36"/>
      <c r="L190" s="32"/>
    </row>
    <row r="191" spans="1:12" ht="12.75">
      <c r="A191" s="29" t="s">
        <v>89</v>
      </c>
      <c r="B191" s="29" t="s">
        <v>96</v>
      </c>
      <c r="C191" s="36"/>
      <c r="D191" s="36"/>
      <c r="E191" s="36"/>
      <c r="F191" s="32"/>
      <c r="G191" s="33"/>
      <c r="H191" s="38"/>
      <c r="I191" s="36"/>
      <c r="J191" s="36"/>
      <c r="K191" s="36"/>
      <c r="L191" s="32"/>
    </row>
    <row r="192" spans="1:12" ht="12.75">
      <c r="A192" s="33"/>
      <c r="B192" s="40" t="s">
        <v>97</v>
      </c>
      <c r="C192" s="41">
        <f>SUM(C177+C178+C183+C187+C188+C190+C191)</f>
        <v>214208</v>
      </c>
      <c r="D192" s="41">
        <f>SUM(D177+D178+D183+D187+D188+D190+D191)</f>
        <v>236055</v>
      </c>
      <c r="E192" s="41">
        <f>SUM(E177+E178+E183+E187+E188+E190+E191)</f>
        <v>248455</v>
      </c>
      <c r="F192" s="42">
        <f>E192/D192*100</f>
        <v>105.25301306898815</v>
      </c>
      <c r="G192" s="33"/>
      <c r="H192" s="40" t="s">
        <v>98</v>
      </c>
      <c r="I192" s="41">
        <f>SUM(I177+I178+I179+I180)</f>
        <v>274896</v>
      </c>
      <c r="J192" s="41">
        <f>SUM(J177+J178+J179+J180+J187+J188)</f>
        <v>315651</v>
      </c>
      <c r="K192" s="41">
        <f>SUM(K177+K178+K179+K180+K187+K188)</f>
        <v>310661</v>
      </c>
      <c r="L192" s="42">
        <f>K192/J192*100</f>
        <v>98.4191401262787</v>
      </c>
    </row>
    <row r="193" spans="1:12" ht="12.75">
      <c r="A193" s="33"/>
      <c r="B193" s="43" t="s">
        <v>99</v>
      </c>
      <c r="C193" s="44">
        <f>I194-C192</f>
        <v>92078</v>
      </c>
      <c r="D193" s="44">
        <f>J194-D192</f>
        <v>110986</v>
      </c>
      <c r="E193" s="44"/>
      <c r="F193" s="32">
        <f>E193/D193*100</f>
        <v>0</v>
      </c>
      <c r="G193" s="33"/>
      <c r="H193" s="38" t="s">
        <v>100</v>
      </c>
      <c r="I193" s="51">
        <f>32055-665</f>
        <v>31390</v>
      </c>
      <c r="J193" s="51">
        <f>32055-665</f>
        <v>31390</v>
      </c>
      <c r="K193" s="54">
        <v>27841</v>
      </c>
      <c r="L193" s="32">
        <f>K193/J193*100</f>
        <v>88.69385154507805</v>
      </c>
    </row>
    <row r="194" spans="1:12" ht="12.75">
      <c r="A194" s="33"/>
      <c r="B194" s="29" t="s">
        <v>101</v>
      </c>
      <c r="C194" s="36"/>
      <c r="D194" s="36"/>
      <c r="E194" s="36"/>
      <c r="F194" s="32"/>
      <c r="G194" s="33"/>
      <c r="H194" s="40" t="s">
        <v>102</v>
      </c>
      <c r="I194" s="41">
        <f>SUM(I192:I193)</f>
        <v>306286</v>
      </c>
      <c r="J194" s="41">
        <f>SUM(J192:J193)</f>
        <v>347041</v>
      </c>
      <c r="K194" s="41">
        <f>SUM(K192:K193)</f>
        <v>338502</v>
      </c>
      <c r="L194" s="42">
        <f>K194/J194*100</f>
        <v>97.53948380738875</v>
      </c>
    </row>
    <row r="195" spans="1:12" ht="12.75">
      <c r="A195" s="29" t="s">
        <v>103</v>
      </c>
      <c r="B195" s="29" t="s">
        <v>104</v>
      </c>
      <c r="C195" s="36"/>
      <c r="D195" s="36"/>
      <c r="E195" s="36"/>
      <c r="F195" s="32"/>
      <c r="G195" s="33"/>
      <c r="H195" s="43" t="s">
        <v>105</v>
      </c>
      <c r="I195" s="36"/>
      <c r="J195" s="36"/>
      <c r="K195" s="36"/>
      <c r="L195" s="42"/>
    </row>
    <row r="196" spans="1:12" ht="12.75">
      <c r="A196" s="29" t="s">
        <v>106</v>
      </c>
      <c r="B196" s="29" t="s">
        <v>107</v>
      </c>
      <c r="C196" s="36"/>
      <c r="D196" s="36"/>
      <c r="E196" s="36"/>
      <c r="F196" s="32"/>
      <c r="G196" s="33"/>
      <c r="H196" s="29" t="s">
        <v>108</v>
      </c>
      <c r="I196" s="36"/>
      <c r="J196" s="36"/>
      <c r="K196" s="36"/>
      <c r="L196" s="42"/>
    </row>
    <row r="197" spans="1:12" ht="12.75">
      <c r="A197" s="29" t="s">
        <v>109</v>
      </c>
      <c r="B197" s="29" t="s">
        <v>110</v>
      </c>
      <c r="C197" s="36"/>
      <c r="D197" s="36"/>
      <c r="E197" s="36"/>
      <c r="F197" s="32"/>
      <c r="G197" s="29" t="s">
        <v>61</v>
      </c>
      <c r="H197" s="29" t="s">
        <v>111</v>
      </c>
      <c r="I197" s="36"/>
      <c r="J197" s="36"/>
      <c r="K197" s="36"/>
      <c r="L197" s="42"/>
    </row>
    <row r="198" spans="1:12" ht="12.75">
      <c r="A198" s="29" t="s">
        <v>112</v>
      </c>
      <c r="B198" s="29" t="s">
        <v>113</v>
      </c>
      <c r="C198" s="36"/>
      <c r="D198" s="36">
        <v>2849</v>
      </c>
      <c r="E198" s="36">
        <v>490</v>
      </c>
      <c r="F198" s="32"/>
      <c r="G198" s="29" t="s">
        <v>65</v>
      </c>
      <c r="H198" s="29" t="s">
        <v>66</v>
      </c>
      <c r="I198" s="36"/>
      <c r="J198" s="36">
        <f>SUM(J199:J200)</f>
        <v>0</v>
      </c>
      <c r="K198" s="36">
        <f>SUM(K199:K200)</f>
        <v>0</v>
      </c>
      <c r="L198" s="42"/>
    </row>
    <row r="199" spans="1:12" ht="12.75">
      <c r="A199" s="29" t="s">
        <v>61</v>
      </c>
      <c r="B199" s="29" t="s">
        <v>114</v>
      </c>
      <c r="C199" s="36"/>
      <c r="D199" s="36">
        <f>SUM(D200:D202)</f>
        <v>0</v>
      </c>
      <c r="E199" s="36">
        <f>SUM(E200:E202)</f>
        <v>729</v>
      </c>
      <c r="F199" s="32"/>
      <c r="G199" s="33" t="s">
        <v>1</v>
      </c>
      <c r="H199" s="38" t="s">
        <v>69</v>
      </c>
      <c r="I199" s="36"/>
      <c r="J199" s="36"/>
      <c r="K199" s="36"/>
      <c r="L199" s="42"/>
    </row>
    <row r="200" spans="1:12" ht="12.75">
      <c r="A200" s="33" t="s">
        <v>1</v>
      </c>
      <c r="B200" s="45" t="s">
        <v>115</v>
      </c>
      <c r="C200" s="36"/>
      <c r="D200" s="36"/>
      <c r="E200" s="36"/>
      <c r="F200" s="32"/>
      <c r="G200" s="33" t="s">
        <v>3</v>
      </c>
      <c r="H200" s="38" t="s">
        <v>116</v>
      </c>
      <c r="I200" s="36"/>
      <c r="J200" s="36"/>
      <c r="K200" s="36"/>
      <c r="L200" s="42"/>
    </row>
    <row r="201" spans="1:12" ht="12.75">
      <c r="A201" s="33" t="s">
        <v>3</v>
      </c>
      <c r="B201" s="45" t="s">
        <v>117</v>
      </c>
      <c r="C201" s="36"/>
      <c r="D201" s="36"/>
      <c r="E201" s="54">
        <v>729</v>
      </c>
      <c r="F201" s="32"/>
      <c r="G201" s="29" t="s">
        <v>118</v>
      </c>
      <c r="H201" s="29" t="s">
        <v>119</v>
      </c>
      <c r="I201" s="44">
        <f>SUM(I202:I204)</f>
        <v>0</v>
      </c>
      <c r="J201" s="44">
        <f>SUM(J202:J204)</f>
        <v>2849</v>
      </c>
      <c r="K201" s="44">
        <f>SUM(K202:K204)</f>
        <v>717</v>
      </c>
      <c r="L201" s="42">
        <f>K201/J201*100</f>
        <v>25.16672516672517</v>
      </c>
    </row>
    <row r="202" spans="1:12" ht="12.75">
      <c r="A202" s="33" t="s">
        <v>5</v>
      </c>
      <c r="B202" s="45" t="s">
        <v>120</v>
      </c>
      <c r="C202" s="36"/>
      <c r="D202" s="36"/>
      <c r="E202" s="36"/>
      <c r="F202" s="32"/>
      <c r="G202" s="33" t="s">
        <v>1</v>
      </c>
      <c r="H202" s="45" t="s">
        <v>121</v>
      </c>
      <c r="I202" s="44"/>
      <c r="J202" s="44"/>
      <c r="K202" s="55"/>
      <c r="L202" s="42" t="e">
        <f>K202/J202*100</f>
        <v>#DIV/0!</v>
      </c>
    </row>
    <row r="203" spans="1:12" ht="12.75">
      <c r="A203" s="29" t="s">
        <v>122</v>
      </c>
      <c r="B203" s="29" t="s">
        <v>123</v>
      </c>
      <c r="C203" s="36"/>
      <c r="D203" s="36"/>
      <c r="E203" s="36"/>
      <c r="F203" s="32"/>
      <c r="G203" s="33" t="s">
        <v>3</v>
      </c>
      <c r="H203" s="45" t="s">
        <v>124</v>
      </c>
      <c r="I203" s="44"/>
      <c r="J203" s="44">
        <v>2849</v>
      </c>
      <c r="K203" s="44">
        <f>597+120</f>
        <v>717</v>
      </c>
      <c r="L203" s="42">
        <f>K203/J203*100</f>
        <v>25.16672516672517</v>
      </c>
    </row>
    <row r="204" spans="1:12" ht="12.75">
      <c r="A204" s="29" t="s">
        <v>125</v>
      </c>
      <c r="B204" s="29" t="s">
        <v>126</v>
      </c>
      <c r="C204" s="36"/>
      <c r="D204" s="36"/>
      <c r="E204" s="36"/>
      <c r="F204" s="32"/>
      <c r="G204" s="33" t="s">
        <v>5</v>
      </c>
      <c r="H204" s="38" t="s">
        <v>127</v>
      </c>
      <c r="I204" s="36"/>
      <c r="J204" s="36"/>
      <c r="K204" s="36"/>
      <c r="L204" s="32"/>
    </row>
    <row r="205" spans="1:12" ht="12.75">
      <c r="A205" s="29" t="s">
        <v>118</v>
      </c>
      <c r="B205" s="29" t="s">
        <v>128</v>
      </c>
      <c r="C205" s="36">
        <v>0</v>
      </c>
      <c r="D205" s="36"/>
      <c r="E205" s="36"/>
      <c r="F205" s="32"/>
      <c r="G205" s="29" t="s">
        <v>85</v>
      </c>
      <c r="H205" s="29" t="s">
        <v>129</v>
      </c>
      <c r="I205" s="36"/>
      <c r="J205" s="36"/>
      <c r="K205" s="36"/>
      <c r="L205" s="32"/>
    </row>
    <row r="206" spans="1:12" ht="12.75">
      <c r="A206" s="29" t="s">
        <v>85</v>
      </c>
      <c r="B206" s="29" t="s">
        <v>129</v>
      </c>
      <c r="C206" s="36">
        <v>0</v>
      </c>
      <c r="D206" s="36">
        <v>0</v>
      </c>
      <c r="E206" s="36"/>
      <c r="F206" s="32"/>
      <c r="G206" s="29" t="s">
        <v>89</v>
      </c>
      <c r="H206" s="29" t="s">
        <v>90</v>
      </c>
      <c r="I206" s="36"/>
      <c r="J206" s="36"/>
      <c r="K206" s="36"/>
      <c r="L206" s="32"/>
    </row>
    <row r="207" spans="1:12" ht="12.75">
      <c r="A207" s="29" t="s">
        <v>89</v>
      </c>
      <c r="B207" s="29" t="s">
        <v>96</v>
      </c>
      <c r="C207" s="36">
        <v>0</v>
      </c>
      <c r="D207" s="36">
        <v>0</v>
      </c>
      <c r="E207" s="36"/>
      <c r="F207" s="32"/>
      <c r="G207" s="33" t="s">
        <v>1</v>
      </c>
      <c r="H207" s="38" t="s">
        <v>92</v>
      </c>
      <c r="I207" s="36"/>
      <c r="J207" s="36"/>
      <c r="K207" s="36"/>
      <c r="L207" s="32"/>
    </row>
    <row r="208" spans="1:12" ht="12.75">
      <c r="A208" s="33"/>
      <c r="B208" s="40" t="s">
        <v>130</v>
      </c>
      <c r="C208" s="41">
        <f>SUM(C195:C199,C203:C207)</f>
        <v>0</v>
      </c>
      <c r="D208" s="41">
        <f>SUM(D195:D199,D203:D207)</f>
        <v>2849</v>
      </c>
      <c r="E208" s="41">
        <f>SUM(E195:E199,E203:E207)</f>
        <v>1219</v>
      </c>
      <c r="F208" s="42"/>
      <c r="G208" s="33" t="s">
        <v>142</v>
      </c>
      <c r="H208" s="40" t="s">
        <v>131</v>
      </c>
      <c r="I208" s="41">
        <f>SUM(I206+I205+I201+I198+I197+I196)</f>
        <v>0</v>
      </c>
      <c r="J208" s="41">
        <f>SUM(J206+J205+J201+J198+J197+J196)</f>
        <v>2849</v>
      </c>
      <c r="K208" s="41">
        <f>SUM(K206+K205+K201+K198+K197+K196)</f>
        <v>717</v>
      </c>
      <c r="L208" s="42"/>
    </row>
    <row r="209" spans="1:12" ht="12.75">
      <c r="A209" s="33"/>
      <c r="B209" s="43" t="s">
        <v>134</v>
      </c>
      <c r="C209" s="48">
        <f>I208-C208</f>
        <v>0</v>
      </c>
      <c r="D209" s="48">
        <f>J208-D208</f>
        <v>0</v>
      </c>
      <c r="E209" s="48"/>
      <c r="F209" s="32"/>
      <c r="G209" s="33" t="s">
        <v>143</v>
      </c>
      <c r="H209" s="38" t="s">
        <v>135</v>
      </c>
      <c r="I209" s="36"/>
      <c r="J209" s="36">
        <f>D208-J208</f>
        <v>0</v>
      </c>
      <c r="K209" s="36"/>
      <c r="L209" s="32"/>
    </row>
    <row r="210" spans="1:12" ht="12.75">
      <c r="A210" s="33"/>
      <c r="B210" s="47" t="s">
        <v>136</v>
      </c>
      <c r="C210" s="48">
        <f>SUM(C209+C193)</f>
        <v>92078</v>
      </c>
      <c r="D210" s="48">
        <f>SUM(D209+D193)</f>
        <v>110986</v>
      </c>
      <c r="E210" s="48">
        <f>SUM(E209+E193)</f>
        <v>0</v>
      </c>
      <c r="F210" s="32">
        <f>E210/D210*100</f>
        <v>0</v>
      </c>
      <c r="G210" s="33" t="s">
        <v>144</v>
      </c>
      <c r="H210" s="47" t="s">
        <v>137</v>
      </c>
      <c r="I210" s="35">
        <f>C208-I208</f>
        <v>0</v>
      </c>
      <c r="J210" s="35">
        <f>D208-J208</f>
        <v>0</v>
      </c>
      <c r="K210" s="35"/>
      <c r="L210" s="32"/>
    </row>
    <row r="211" spans="1:12" ht="12.75">
      <c r="A211" s="33"/>
      <c r="B211" s="40" t="s">
        <v>157</v>
      </c>
      <c r="C211" s="41">
        <f>SUM(C208+C192+C210)</f>
        <v>306286</v>
      </c>
      <c r="D211" s="41">
        <f>SUM(D208+D192+D210)</f>
        <v>349890</v>
      </c>
      <c r="E211" s="41">
        <f>SUM(E208+E192+E210)</f>
        <v>249674</v>
      </c>
      <c r="F211" s="42">
        <f>E211/D211*100</f>
        <v>71.35785532595959</v>
      </c>
      <c r="G211" s="33" t="s">
        <v>146</v>
      </c>
      <c r="H211" s="40" t="s">
        <v>157</v>
      </c>
      <c r="I211" s="41">
        <f>SUM(I194,I208,I210)</f>
        <v>306286</v>
      </c>
      <c r="J211" s="41">
        <f>SUM(J194,J208,J210)</f>
        <v>349890</v>
      </c>
      <c r="K211" s="41">
        <f>SUM(K194,K208,K210)</f>
        <v>339219</v>
      </c>
      <c r="L211" s="42">
        <f>K211/J211*100</f>
        <v>96.95018434365086</v>
      </c>
    </row>
    <row r="212" spans="1:12" ht="12.75" customHeight="1">
      <c r="A212" s="19" t="s">
        <v>158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12" ht="12.75">
      <c r="A214" s="20" t="s">
        <v>148</v>
      </c>
      <c r="B214" s="21"/>
      <c r="C214" s="22"/>
      <c r="D214" s="22"/>
      <c r="E214" s="22"/>
      <c r="F214" s="23"/>
      <c r="G214" s="21"/>
      <c r="H214" s="21"/>
      <c r="I214" s="24" t="s">
        <v>43</v>
      </c>
      <c r="J214" s="24"/>
      <c r="K214" s="24"/>
      <c r="L214" s="24"/>
    </row>
    <row r="215" spans="1:12" ht="12.75" customHeight="1">
      <c r="A215" s="25" t="s">
        <v>44</v>
      </c>
      <c r="B215" s="26" t="s">
        <v>45</v>
      </c>
      <c r="C215" s="27" t="s">
        <v>46</v>
      </c>
      <c r="D215" s="27" t="s">
        <v>47</v>
      </c>
      <c r="E215" s="27" t="s">
        <v>48</v>
      </c>
      <c r="F215" s="28" t="s">
        <v>49</v>
      </c>
      <c r="G215" s="25" t="s">
        <v>44</v>
      </c>
      <c r="H215" s="26" t="s">
        <v>50</v>
      </c>
      <c r="I215" s="27" t="s">
        <v>46</v>
      </c>
      <c r="J215" s="27" t="s">
        <v>47</v>
      </c>
      <c r="K215" s="27" t="s">
        <v>48</v>
      </c>
      <c r="L215" s="28" t="s">
        <v>49</v>
      </c>
    </row>
    <row r="216" spans="1:12" ht="12.75" customHeight="1">
      <c r="A216" s="25"/>
      <c r="B216" s="26"/>
      <c r="C216" s="27"/>
      <c r="D216" s="27"/>
      <c r="E216" s="27"/>
      <c r="F216" s="28"/>
      <c r="G216" s="25"/>
      <c r="H216" s="26"/>
      <c r="I216" s="27"/>
      <c r="J216" s="27"/>
      <c r="K216" s="27"/>
      <c r="L216" s="28"/>
    </row>
    <row r="217" spans="1:12" ht="12.75">
      <c r="A217" s="25"/>
      <c r="B217" s="26"/>
      <c r="C217" s="27"/>
      <c r="D217" s="27"/>
      <c r="E217" s="27"/>
      <c r="F217" s="28"/>
      <c r="G217" s="25"/>
      <c r="H217" s="26"/>
      <c r="I217" s="27"/>
      <c r="J217" s="27"/>
      <c r="K217" s="27"/>
      <c r="L217" s="28"/>
    </row>
    <row r="218" spans="1:12" ht="12.75">
      <c r="A218" s="29" t="s">
        <v>51</v>
      </c>
      <c r="B218" s="29" t="s">
        <v>52</v>
      </c>
      <c r="C218" s="30"/>
      <c r="D218" s="30"/>
      <c r="E218" s="30"/>
      <c r="F218" s="31"/>
      <c r="G218" s="29"/>
      <c r="H218" s="29" t="s">
        <v>53</v>
      </c>
      <c r="I218" s="30">
        <f>SUM(I219:I221,I222,I229,I230)</f>
        <v>105524</v>
      </c>
      <c r="J218" s="30">
        <f>SUM(J219:J221,J222,J229,J230)</f>
        <v>111941</v>
      </c>
      <c r="K218" s="30">
        <f>SUM(K219:K221,K222,K229,K230)</f>
        <v>116395</v>
      </c>
      <c r="L218" s="32">
        <f aca="true" t="shared" si="25" ref="L218:L223">K218/J218*100</f>
        <v>103.97888173234114</v>
      </c>
    </row>
    <row r="219" spans="1:12" ht="12.75">
      <c r="A219" s="33" t="s">
        <v>1</v>
      </c>
      <c r="B219" s="34" t="s">
        <v>54</v>
      </c>
      <c r="C219" s="35">
        <v>8932</v>
      </c>
      <c r="D219" s="35">
        <v>3692</v>
      </c>
      <c r="E219" s="35">
        <v>3618</v>
      </c>
      <c r="F219" s="32">
        <f>E219/D219*100</f>
        <v>97.99566630552546</v>
      </c>
      <c r="G219" s="29" t="s">
        <v>51</v>
      </c>
      <c r="H219" s="29" t="s">
        <v>55</v>
      </c>
      <c r="I219" s="36">
        <f>71432-2475</f>
        <v>68957</v>
      </c>
      <c r="J219" s="36">
        <v>72059</v>
      </c>
      <c r="K219" s="30">
        <f>69820+1358</f>
        <v>71178</v>
      </c>
      <c r="L219" s="32">
        <f t="shared" si="25"/>
        <v>98.77739074924715</v>
      </c>
    </row>
    <row r="220" spans="1:12" ht="12.75">
      <c r="A220" s="33" t="s">
        <v>3</v>
      </c>
      <c r="B220" s="34" t="s">
        <v>56</v>
      </c>
      <c r="C220" s="35">
        <v>0</v>
      </c>
      <c r="D220" s="35"/>
      <c r="E220" s="35"/>
      <c r="F220" s="32"/>
      <c r="G220" s="29" t="s">
        <v>57</v>
      </c>
      <c r="H220" s="29" t="s">
        <v>58</v>
      </c>
      <c r="I220" s="36">
        <v>22438</v>
      </c>
      <c r="J220" s="36">
        <v>24101</v>
      </c>
      <c r="K220" s="30">
        <v>22061</v>
      </c>
      <c r="L220" s="32">
        <f t="shared" si="25"/>
        <v>91.53562092859218</v>
      </c>
    </row>
    <row r="221" spans="1:12" ht="12.75">
      <c r="A221" s="37" t="s">
        <v>59</v>
      </c>
      <c r="B221" s="38" t="s">
        <v>60</v>
      </c>
      <c r="C221" s="36">
        <v>0</v>
      </c>
      <c r="D221" s="36"/>
      <c r="E221" s="35"/>
      <c r="F221" s="32"/>
      <c r="G221" s="29" t="s">
        <v>61</v>
      </c>
      <c r="H221" s="29" t="s">
        <v>62</v>
      </c>
      <c r="I221" s="36">
        <v>10489</v>
      </c>
      <c r="J221" s="36">
        <v>12141</v>
      </c>
      <c r="K221" s="30">
        <f>4718+6358+2438+177</f>
        <v>13691</v>
      </c>
      <c r="L221" s="32">
        <f t="shared" si="25"/>
        <v>112.76665843011284</v>
      </c>
    </row>
    <row r="222" spans="1:12" ht="12.75">
      <c r="A222" s="37" t="s">
        <v>63</v>
      </c>
      <c r="B222" s="38" t="s">
        <v>64</v>
      </c>
      <c r="C222" s="36"/>
      <c r="D222" s="36"/>
      <c r="E222" s="35"/>
      <c r="F222" s="32"/>
      <c r="G222" s="29" t="s">
        <v>65</v>
      </c>
      <c r="H222" s="29" t="s">
        <v>66</v>
      </c>
      <c r="I222" s="36">
        <f>SUM(I223:I227)</f>
        <v>3640</v>
      </c>
      <c r="J222" s="36">
        <f>SUM(J223:J227)</f>
        <v>3640</v>
      </c>
      <c r="K222" s="30">
        <f>SUM(K223:K227)</f>
        <v>9465</v>
      </c>
      <c r="L222" s="32">
        <f t="shared" si="25"/>
        <v>260.0274725274725</v>
      </c>
    </row>
    <row r="223" spans="1:12" ht="12.75">
      <c r="A223" s="37" t="s">
        <v>67</v>
      </c>
      <c r="B223" s="38" t="s">
        <v>68</v>
      </c>
      <c r="C223" s="36"/>
      <c r="D223" s="36"/>
      <c r="E223" s="35"/>
      <c r="F223" s="32"/>
      <c r="G223" s="33" t="s">
        <v>1</v>
      </c>
      <c r="H223" s="38" t="s">
        <v>69</v>
      </c>
      <c r="I223" s="36">
        <v>3640</v>
      </c>
      <c r="J223" s="36">
        <v>3640</v>
      </c>
      <c r="K223" s="30">
        <v>9465</v>
      </c>
      <c r="L223" s="32">
        <f t="shared" si="25"/>
        <v>260.0274725274725</v>
      </c>
    </row>
    <row r="224" spans="1:12" ht="12.75">
      <c r="A224" s="39" t="s">
        <v>70</v>
      </c>
      <c r="B224" s="29" t="s">
        <v>71</v>
      </c>
      <c r="C224" s="36"/>
      <c r="D224" s="36"/>
      <c r="E224" s="35"/>
      <c r="F224" s="32"/>
      <c r="G224" s="33" t="s">
        <v>3</v>
      </c>
      <c r="H224" s="38" t="s">
        <v>72</v>
      </c>
      <c r="I224" s="36"/>
      <c r="J224" s="36"/>
      <c r="K224" s="30">
        <f>SUM(H224:I224)</f>
        <v>0</v>
      </c>
      <c r="L224" s="32"/>
    </row>
    <row r="225" spans="1:12" ht="12.75">
      <c r="A225" s="33" t="s">
        <v>1</v>
      </c>
      <c r="B225" s="34" t="s">
        <v>73</v>
      </c>
      <c r="C225" s="35">
        <f>SUM(C226:C228)</f>
        <v>76932</v>
      </c>
      <c r="D225" s="35">
        <f>SUM(D226:D228)</f>
        <v>85663</v>
      </c>
      <c r="E225" s="35">
        <f>SUM(E226:E228)</f>
        <v>86227</v>
      </c>
      <c r="F225" s="32">
        <f>E225/D225*100</f>
        <v>100.6583939390402</v>
      </c>
      <c r="G225" s="33" t="s">
        <v>5</v>
      </c>
      <c r="H225" s="38" t="s">
        <v>74</v>
      </c>
      <c r="I225" s="36">
        <v>0</v>
      </c>
      <c r="J225" s="36">
        <v>0</v>
      </c>
      <c r="K225" s="30">
        <f>SUM(H225:I225)</f>
        <v>0</v>
      </c>
      <c r="L225" s="32"/>
    </row>
    <row r="226" spans="1:12" ht="12.75">
      <c r="A226" s="33" t="s">
        <v>75</v>
      </c>
      <c r="B226" s="38" t="s">
        <v>76</v>
      </c>
      <c r="C226" s="36">
        <v>76639</v>
      </c>
      <c r="D226" s="36">
        <f>57628+19011</f>
        <v>76639</v>
      </c>
      <c r="E226" s="35">
        <v>76639</v>
      </c>
      <c r="F226" s="32">
        <f>E226/D226*100</f>
        <v>100</v>
      </c>
      <c r="G226" s="33" t="s">
        <v>7</v>
      </c>
      <c r="H226" s="38" t="s">
        <v>77</v>
      </c>
      <c r="I226" s="36">
        <v>0</v>
      </c>
      <c r="J226" s="36">
        <v>0</v>
      </c>
      <c r="K226" s="30">
        <f>SUM(H226:I226)</f>
        <v>0</v>
      </c>
      <c r="L226" s="32"/>
    </row>
    <row r="227" spans="1:12" ht="12.75">
      <c r="A227" s="33" t="s">
        <v>78</v>
      </c>
      <c r="B227" s="38" t="s">
        <v>155</v>
      </c>
      <c r="C227" s="36">
        <v>0</v>
      </c>
      <c r="D227" s="36">
        <v>8731</v>
      </c>
      <c r="E227" s="35">
        <f>8731+684-120</f>
        <v>9295</v>
      </c>
      <c r="F227" s="32">
        <f>E227/D227*100</f>
        <v>106.45974115221624</v>
      </c>
      <c r="G227" s="33" t="s">
        <v>11</v>
      </c>
      <c r="H227" s="38" t="s">
        <v>80</v>
      </c>
      <c r="I227" s="36">
        <v>0</v>
      </c>
      <c r="J227" s="36">
        <v>0</v>
      </c>
      <c r="K227" s="30">
        <f>SUM(H227:I227)</f>
        <v>0</v>
      </c>
      <c r="L227" s="32"/>
    </row>
    <row r="228" spans="1:12" ht="12.75">
      <c r="A228" s="33" t="s">
        <v>81</v>
      </c>
      <c r="B228" s="38" t="s">
        <v>82</v>
      </c>
      <c r="C228" s="36">
        <v>293</v>
      </c>
      <c r="D228" s="36">
        <f>258+35</f>
        <v>293</v>
      </c>
      <c r="E228" s="35">
        <v>293</v>
      </c>
      <c r="F228" s="32">
        <f>E228/D228*100</f>
        <v>100</v>
      </c>
      <c r="G228" s="33"/>
      <c r="H228" s="38"/>
      <c r="I228" s="36"/>
      <c r="J228" s="36"/>
      <c r="K228" s="36"/>
      <c r="L228" s="32"/>
    </row>
    <row r="229" spans="1:12" ht="12.75">
      <c r="A229" s="29" t="s">
        <v>83</v>
      </c>
      <c r="B229" s="29" t="s">
        <v>84</v>
      </c>
      <c r="C229" s="36">
        <v>9577</v>
      </c>
      <c r="D229" s="36">
        <v>7851</v>
      </c>
      <c r="E229" s="35">
        <v>8737</v>
      </c>
      <c r="F229" s="32">
        <f>E229/D229*100</f>
        <v>111.28518660043308</v>
      </c>
      <c r="G229" s="29" t="s">
        <v>85</v>
      </c>
      <c r="H229" s="29" t="s">
        <v>86</v>
      </c>
      <c r="I229" s="36"/>
      <c r="J229" s="36"/>
      <c r="K229" s="36"/>
      <c r="L229" s="32"/>
    </row>
    <row r="230" spans="1:12" ht="12.75">
      <c r="A230" s="29" t="s">
        <v>87</v>
      </c>
      <c r="B230" s="29" t="s">
        <v>88</v>
      </c>
      <c r="C230" s="36"/>
      <c r="D230" s="36">
        <v>72</v>
      </c>
      <c r="E230" s="35">
        <v>72</v>
      </c>
      <c r="F230" s="32"/>
      <c r="G230" s="29" t="s">
        <v>89</v>
      </c>
      <c r="H230" s="29" t="s">
        <v>90</v>
      </c>
      <c r="I230" s="36"/>
      <c r="J230" s="36"/>
      <c r="K230" s="36"/>
      <c r="L230" s="32"/>
    </row>
    <row r="231" spans="1:12" ht="12.75">
      <c r="A231" s="33"/>
      <c r="B231" s="38" t="s">
        <v>156</v>
      </c>
      <c r="C231" s="36"/>
      <c r="D231" s="36"/>
      <c r="E231" s="35">
        <f>SUM(C231:D231)</f>
        <v>0</v>
      </c>
      <c r="F231" s="32"/>
      <c r="G231" s="33" t="s">
        <v>1</v>
      </c>
      <c r="H231" s="38" t="s">
        <v>92</v>
      </c>
      <c r="I231" s="36"/>
      <c r="J231" s="36"/>
      <c r="K231" s="36"/>
      <c r="L231" s="32"/>
    </row>
    <row r="232" spans="1:12" ht="12.75">
      <c r="A232" s="29" t="s">
        <v>93</v>
      </c>
      <c r="B232" s="29" t="s">
        <v>94</v>
      </c>
      <c r="C232" s="35">
        <v>0</v>
      </c>
      <c r="D232" s="35"/>
      <c r="E232" s="35"/>
      <c r="F232" s="32"/>
      <c r="G232" s="33" t="s">
        <v>3</v>
      </c>
      <c r="H232" s="38" t="s">
        <v>95</v>
      </c>
      <c r="I232" s="36"/>
      <c r="J232" s="36"/>
      <c r="K232" s="36"/>
      <c r="L232" s="32"/>
    </row>
    <row r="233" spans="1:12" ht="12.75">
      <c r="A233" s="29" t="s">
        <v>89</v>
      </c>
      <c r="B233" s="29" t="s">
        <v>96</v>
      </c>
      <c r="C233" s="36"/>
      <c r="D233" s="36"/>
      <c r="E233" s="36"/>
      <c r="F233" s="32"/>
      <c r="G233" s="33"/>
      <c r="H233" s="38"/>
      <c r="I233" s="36"/>
      <c r="J233" s="36"/>
      <c r="K233" s="36"/>
      <c r="L233" s="32"/>
    </row>
    <row r="234" spans="1:12" ht="12.75">
      <c r="A234" s="33"/>
      <c r="B234" s="40" t="s">
        <v>97</v>
      </c>
      <c r="C234" s="41">
        <f>SUM(C219+C220+C225+C229+C230+C232+C233)</f>
        <v>95441</v>
      </c>
      <c r="D234" s="41">
        <f>SUM(D219+D220+D225+D229+D230+D232+D233)</f>
        <v>97278</v>
      </c>
      <c r="E234" s="41">
        <f>SUM(E219+E220+E225+E229+E230+E232+E233)</f>
        <v>98654</v>
      </c>
      <c r="F234" s="42">
        <f>E234/D234*100</f>
        <v>101.41450276527067</v>
      </c>
      <c r="G234" s="33"/>
      <c r="H234" s="40" t="s">
        <v>98</v>
      </c>
      <c r="I234" s="41">
        <f>SUM(I219+I220+I221+I222)</f>
        <v>105524</v>
      </c>
      <c r="J234" s="41">
        <f>SUM(J219+J220+J221+J222)</f>
        <v>111941</v>
      </c>
      <c r="K234" s="41">
        <f>SUM(K219+K220+K221+K222)</f>
        <v>116395</v>
      </c>
      <c r="L234" s="42">
        <f>K234/J234*100</f>
        <v>103.97888173234114</v>
      </c>
    </row>
    <row r="235" spans="1:12" ht="12.75">
      <c r="A235" s="33"/>
      <c r="B235" s="43" t="s">
        <v>99</v>
      </c>
      <c r="C235" s="44">
        <f>I236-C234</f>
        <v>30938</v>
      </c>
      <c r="D235" s="44">
        <f>J236-D234</f>
        <v>35518</v>
      </c>
      <c r="E235" s="44"/>
      <c r="F235" s="32">
        <f>E235/D235*100</f>
        <v>0</v>
      </c>
      <c r="G235" s="33"/>
      <c r="H235" s="38" t="s">
        <v>100</v>
      </c>
      <c r="I235" s="51">
        <f>21140-285</f>
        <v>20855</v>
      </c>
      <c r="J235" s="51">
        <f>21140-285</f>
        <v>20855</v>
      </c>
      <c r="K235" s="54">
        <v>19999</v>
      </c>
      <c r="L235" s="32">
        <f>K235/J235*100</f>
        <v>95.89546871253896</v>
      </c>
    </row>
    <row r="236" spans="1:12" ht="12.75">
      <c r="A236" s="33"/>
      <c r="B236" s="29" t="s">
        <v>101</v>
      </c>
      <c r="C236" s="36"/>
      <c r="D236" s="36"/>
      <c r="E236" s="36"/>
      <c r="F236" s="32"/>
      <c r="G236" s="33"/>
      <c r="H236" s="40" t="s">
        <v>102</v>
      </c>
      <c r="I236" s="41">
        <f>SUM(I234:I235)</f>
        <v>126379</v>
      </c>
      <c r="J236" s="41">
        <f>SUM(J234:J235)</f>
        <v>132796</v>
      </c>
      <c r="K236" s="41">
        <f>SUM(K234:K235)</f>
        <v>136394</v>
      </c>
      <c r="L236" s="42">
        <f>K236/J236*100</f>
        <v>102.70941895840235</v>
      </c>
    </row>
    <row r="237" spans="1:12" ht="12.75">
      <c r="A237" s="29" t="s">
        <v>103</v>
      </c>
      <c r="B237" s="29" t="s">
        <v>104</v>
      </c>
      <c r="C237" s="36"/>
      <c r="D237" s="36"/>
      <c r="E237" s="36"/>
      <c r="F237" s="32"/>
      <c r="G237" s="33"/>
      <c r="H237" s="43" t="s">
        <v>105</v>
      </c>
      <c r="I237" s="36"/>
      <c r="J237" s="36"/>
      <c r="K237" s="36"/>
      <c r="L237" s="32"/>
    </row>
    <row r="238" spans="1:12" ht="12.75">
      <c r="A238" s="29" t="s">
        <v>106</v>
      </c>
      <c r="B238" s="29" t="s">
        <v>107</v>
      </c>
      <c r="C238" s="36"/>
      <c r="D238" s="36"/>
      <c r="E238" s="36"/>
      <c r="F238" s="32"/>
      <c r="G238" s="33"/>
      <c r="H238" s="29" t="s">
        <v>108</v>
      </c>
      <c r="I238" s="36"/>
      <c r="J238" s="36"/>
      <c r="K238" s="36"/>
      <c r="L238" s="32"/>
    </row>
    <row r="239" spans="1:12" ht="12.75">
      <c r="A239" s="29" t="s">
        <v>109</v>
      </c>
      <c r="B239" s="29" t="s">
        <v>110</v>
      </c>
      <c r="C239" s="36"/>
      <c r="D239" s="36"/>
      <c r="E239" s="36"/>
      <c r="F239" s="32"/>
      <c r="G239" s="29" t="s">
        <v>61</v>
      </c>
      <c r="H239" s="29" t="s">
        <v>111</v>
      </c>
      <c r="I239" s="36"/>
      <c r="J239" s="36"/>
      <c r="K239" s="36"/>
      <c r="L239" s="32"/>
    </row>
    <row r="240" spans="1:12" ht="12.75">
      <c r="A240" s="29" t="s">
        <v>112</v>
      </c>
      <c r="B240" s="29" t="s">
        <v>113</v>
      </c>
      <c r="C240" s="36"/>
      <c r="D240" s="36">
        <v>684</v>
      </c>
      <c r="E240" s="36">
        <v>120</v>
      </c>
      <c r="F240" s="32">
        <f>E240/D240*100</f>
        <v>17.543859649122805</v>
      </c>
      <c r="G240" s="29" t="s">
        <v>65</v>
      </c>
      <c r="H240" s="29" t="s">
        <v>66</v>
      </c>
      <c r="I240" s="36"/>
      <c r="J240" s="36"/>
      <c r="K240" s="36"/>
      <c r="L240" s="32"/>
    </row>
    <row r="241" spans="1:12" ht="12.75">
      <c r="A241" s="29" t="s">
        <v>61</v>
      </c>
      <c r="B241" s="29" t="s">
        <v>114</v>
      </c>
      <c r="C241" s="36"/>
      <c r="D241" s="36"/>
      <c r="E241" s="36"/>
      <c r="F241" s="32"/>
      <c r="G241" s="33" t="s">
        <v>1</v>
      </c>
      <c r="H241" s="38" t="s">
        <v>69</v>
      </c>
      <c r="I241" s="36"/>
      <c r="J241" s="36"/>
      <c r="K241" s="36"/>
      <c r="L241" s="32"/>
    </row>
    <row r="242" spans="1:12" ht="12.75">
      <c r="A242" s="33" t="s">
        <v>1</v>
      </c>
      <c r="B242" s="45" t="s">
        <v>115</v>
      </c>
      <c r="C242" s="36"/>
      <c r="D242" s="36"/>
      <c r="E242" s="36"/>
      <c r="F242" s="32"/>
      <c r="G242" s="33" t="s">
        <v>3</v>
      </c>
      <c r="H242" s="38" t="s">
        <v>116</v>
      </c>
      <c r="I242" s="36"/>
      <c r="J242" s="36"/>
      <c r="K242" s="36"/>
      <c r="L242" s="32"/>
    </row>
    <row r="243" spans="1:12" ht="12.75">
      <c r="A243" s="33" t="s">
        <v>3</v>
      </c>
      <c r="B243" s="45" t="s">
        <v>117</v>
      </c>
      <c r="C243" s="36"/>
      <c r="D243" s="36"/>
      <c r="E243" s="36"/>
      <c r="F243" s="32"/>
      <c r="G243" s="29" t="s">
        <v>118</v>
      </c>
      <c r="H243" s="29" t="s">
        <v>119</v>
      </c>
      <c r="I243" s="36"/>
      <c r="J243" s="36">
        <f>SUM(J244:J245)</f>
        <v>684</v>
      </c>
      <c r="K243" s="36">
        <f>SUM(K244:K245)</f>
        <v>120</v>
      </c>
      <c r="L243" s="32"/>
    </row>
    <row r="244" spans="1:12" ht="12.75">
      <c r="A244" s="33" t="s">
        <v>5</v>
      </c>
      <c r="B244" s="45" t="s">
        <v>120</v>
      </c>
      <c r="C244" s="36"/>
      <c r="D244" s="36"/>
      <c r="E244" s="36"/>
      <c r="F244" s="32"/>
      <c r="G244" s="33" t="s">
        <v>1</v>
      </c>
      <c r="H244" s="45" t="s">
        <v>121</v>
      </c>
      <c r="I244" s="36"/>
      <c r="J244" s="36"/>
      <c r="K244" s="36"/>
      <c r="L244" s="32"/>
    </row>
    <row r="245" spans="1:12" ht="12.75">
      <c r="A245" s="29" t="s">
        <v>122</v>
      </c>
      <c r="B245" s="29" t="s">
        <v>123</v>
      </c>
      <c r="C245" s="36"/>
      <c r="D245" s="36"/>
      <c r="E245" s="36"/>
      <c r="F245" s="32"/>
      <c r="G245" s="33" t="s">
        <v>3</v>
      </c>
      <c r="H245" s="45" t="s">
        <v>124</v>
      </c>
      <c r="I245" s="36"/>
      <c r="J245" s="36">
        <v>684</v>
      </c>
      <c r="K245" s="36">
        <v>120</v>
      </c>
      <c r="L245" s="32"/>
    </row>
    <row r="246" spans="1:12" ht="12.75">
      <c r="A246" s="29" t="s">
        <v>125</v>
      </c>
      <c r="B246" s="29" t="s">
        <v>126</v>
      </c>
      <c r="C246" s="36"/>
      <c r="D246" s="36"/>
      <c r="E246" s="36"/>
      <c r="F246" s="32"/>
      <c r="G246" s="33" t="s">
        <v>5</v>
      </c>
      <c r="H246" s="38" t="s">
        <v>127</v>
      </c>
      <c r="I246" s="36"/>
      <c r="J246" s="36"/>
      <c r="K246" s="36"/>
      <c r="L246" s="32"/>
    </row>
    <row r="247" spans="1:12" ht="12.75">
      <c r="A247" s="29" t="s">
        <v>118</v>
      </c>
      <c r="B247" s="29" t="s">
        <v>128</v>
      </c>
      <c r="C247" s="36">
        <v>0</v>
      </c>
      <c r="D247" s="36">
        <v>0</v>
      </c>
      <c r="E247" s="36"/>
      <c r="F247" s="32"/>
      <c r="G247" s="29" t="s">
        <v>85</v>
      </c>
      <c r="H247" s="29" t="s">
        <v>129</v>
      </c>
      <c r="I247" s="36"/>
      <c r="J247" s="36"/>
      <c r="K247" s="36"/>
      <c r="L247" s="32"/>
    </row>
    <row r="248" spans="1:12" ht="12.75">
      <c r="A248" s="29" t="s">
        <v>85</v>
      </c>
      <c r="B248" s="29" t="s">
        <v>129</v>
      </c>
      <c r="C248" s="36">
        <v>0</v>
      </c>
      <c r="D248" s="36">
        <v>0</v>
      </c>
      <c r="E248" s="36"/>
      <c r="F248" s="32"/>
      <c r="G248" s="29" t="s">
        <v>89</v>
      </c>
      <c r="H248" s="29" t="s">
        <v>90</v>
      </c>
      <c r="I248" s="36"/>
      <c r="J248" s="36"/>
      <c r="K248" s="36"/>
      <c r="L248" s="32"/>
    </row>
    <row r="249" spans="1:12" ht="12.75">
      <c r="A249" s="29" t="s">
        <v>89</v>
      </c>
      <c r="B249" s="29" t="s">
        <v>96</v>
      </c>
      <c r="C249" s="36">
        <v>0</v>
      </c>
      <c r="D249" s="36">
        <v>0</v>
      </c>
      <c r="E249" s="36"/>
      <c r="F249" s="32"/>
      <c r="G249" s="33" t="s">
        <v>1</v>
      </c>
      <c r="H249" s="38" t="s">
        <v>92</v>
      </c>
      <c r="I249" s="36"/>
      <c r="J249" s="36"/>
      <c r="K249" s="36"/>
      <c r="L249" s="32"/>
    </row>
    <row r="250" spans="1:12" ht="12.75">
      <c r="A250" s="33"/>
      <c r="B250" s="40" t="s">
        <v>130</v>
      </c>
      <c r="C250" s="41">
        <f>SUM(C237:C241,C245:C249)</f>
        <v>0</v>
      </c>
      <c r="D250" s="41">
        <f>SUM(D237:D241,D245:D249)</f>
        <v>684</v>
      </c>
      <c r="E250" s="41">
        <f>SUM(E237:E241,E245:E249)</f>
        <v>120</v>
      </c>
      <c r="F250" s="42">
        <f>E250/D250*100</f>
        <v>17.543859649122805</v>
      </c>
      <c r="G250" s="33" t="s">
        <v>142</v>
      </c>
      <c r="H250" s="40" t="s">
        <v>131</v>
      </c>
      <c r="I250" s="41">
        <f>SUM(I247:I249)</f>
        <v>0</v>
      </c>
      <c r="J250" s="41">
        <f>SUM(J239:J240,J243,J247:J248)</f>
        <v>684</v>
      </c>
      <c r="K250" s="41">
        <f>SUM(K239:K240,K243,K247:K248)</f>
        <v>120</v>
      </c>
      <c r="L250" s="42"/>
    </row>
    <row r="251" spans="1:12" ht="12.75">
      <c r="A251" s="33"/>
      <c r="B251" s="43" t="s">
        <v>134</v>
      </c>
      <c r="C251" s="44"/>
      <c r="D251" s="44"/>
      <c r="E251" s="46"/>
      <c r="F251" s="32"/>
      <c r="G251" s="33" t="s">
        <v>143</v>
      </c>
      <c r="H251" s="38" t="s">
        <v>135</v>
      </c>
      <c r="I251" s="36">
        <f>C250-I250</f>
        <v>0</v>
      </c>
      <c r="J251" s="36">
        <f>D250-J250</f>
        <v>0</v>
      </c>
      <c r="K251" s="36"/>
      <c r="L251" s="32"/>
    </row>
    <row r="252" spans="1:12" ht="12.75">
      <c r="A252" s="33"/>
      <c r="B252" s="47" t="s">
        <v>136</v>
      </c>
      <c r="C252" s="48">
        <f>SUM(C251+C235)</f>
        <v>30938</v>
      </c>
      <c r="D252" s="48">
        <f>SUM(D251+D235)</f>
        <v>35518</v>
      </c>
      <c r="E252" s="48">
        <f>SUM(E251+E235)</f>
        <v>0</v>
      </c>
      <c r="F252" s="32">
        <f>E252/D252*100</f>
        <v>0</v>
      </c>
      <c r="G252" s="33" t="s">
        <v>144</v>
      </c>
      <c r="H252" s="47" t="s">
        <v>137</v>
      </c>
      <c r="I252" s="36">
        <f>SUM(I237,I251)</f>
        <v>0</v>
      </c>
      <c r="J252" s="36">
        <f>SUM(J237,J251)</f>
        <v>0</v>
      </c>
      <c r="K252" s="36">
        <f>SUM(K237,K251)</f>
        <v>0</v>
      </c>
      <c r="L252" s="32"/>
    </row>
    <row r="253" spans="1:12" ht="12.75">
      <c r="A253" s="33"/>
      <c r="B253" s="40" t="s">
        <v>159</v>
      </c>
      <c r="C253" s="41">
        <f>SUM(C250+C234+C252)</f>
        <v>126379</v>
      </c>
      <c r="D253" s="41">
        <f>SUM(D250+D234+D252)</f>
        <v>133480</v>
      </c>
      <c r="E253" s="41">
        <f>SUM(E250+E234+E252)</f>
        <v>98774</v>
      </c>
      <c r="F253" s="42">
        <f>E253/D253*100</f>
        <v>73.99910098891219</v>
      </c>
      <c r="G253" s="33" t="s">
        <v>146</v>
      </c>
      <c r="H253" s="40" t="s">
        <v>159</v>
      </c>
      <c r="I253" s="41">
        <f>SUM(I236,I250,I252)</f>
        <v>126379</v>
      </c>
      <c r="J253" s="41">
        <f>SUM(J236,J250,J252)</f>
        <v>133480</v>
      </c>
      <c r="K253" s="41">
        <f>SUM(K236,K250,K252)</f>
        <v>136514</v>
      </c>
      <c r="L253" s="42">
        <f>K253/J253*100</f>
        <v>102.27299970032963</v>
      </c>
    </row>
    <row r="254" spans="1:12" ht="12.75" customHeight="1">
      <c r="A254" s="19" t="s">
        <v>160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1:12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1:12" ht="12.75">
      <c r="A256" s="20" t="s">
        <v>148</v>
      </c>
      <c r="B256" s="21"/>
      <c r="C256" s="22"/>
      <c r="D256" s="22"/>
      <c r="E256" s="22"/>
      <c r="F256" s="23"/>
      <c r="G256" s="21"/>
      <c r="H256" s="21"/>
      <c r="I256" s="24" t="s">
        <v>43</v>
      </c>
      <c r="J256" s="24"/>
      <c r="K256" s="24"/>
      <c r="L256" s="24"/>
    </row>
    <row r="257" spans="1:12" ht="12.75" customHeight="1">
      <c r="A257" s="25" t="s">
        <v>44</v>
      </c>
      <c r="B257" s="26" t="s">
        <v>45</v>
      </c>
      <c r="C257" s="27" t="s">
        <v>46</v>
      </c>
      <c r="D257" s="27" t="s">
        <v>47</v>
      </c>
      <c r="E257" s="27" t="s">
        <v>48</v>
      </c>
      <c r="F257" s="28" t="s">
        <v>49</v>
      </c>
      <c r="G257" s="25" t="s">
        <v>44</v>
      </c>
      <c r="H257" s="26" t="s">
        <v>50</v>
      </c>
      <c r="I257" s="27" t="s">
        <v>46</v>
      </c>
      <c r="J257" s="27" t="s">
        <v>47</v>
      </c>
      <c r="K257" s="27" t="s">
        <v>48</v>
      </c>
      <c r="L257" s="28" t="s">
        <v>49</v>
      </c>
    </row>
    <row r="258" spans="1:12" ht="12.75" customHeight="1">
      <c r="A258" s="25"/>
      <c r="B258" s="26"/>
      <c r="C258" s="27"/>
      <c r="D258" s="27"/>
      <c r="E258" s="27"/>
      <c r="F258" s="28"/>
      <c r="G258" s="25"/>
      <c r="H258" s="26"/>
      <c r="I258" s="27"/>
      <c r="J258" s="27"/>
      <c r="K258" s="27"/>
      <c r="L258" s="28"/>
    </row>
    <row r="259" spans="1:12" ht="12.75">
      <c r="A259" s="25"/>
      <c r="B259" s="26"/>
      <c r="C259" s="27"/>
      <c r="D259" s="27"/>
      <c r="E259" s="27"/>
      <c r="F259" s="28"/>
      <c r="G259" s="25"/>
      <c r="H259" s="26"/>
      <c r="I259" s="27"/>
      <c r="J259" s="27"/>
      <c r="K259" s="27"/>
      <c r="L259" s="28"/>
    </row>
    <row r="260" spans="1:12" ht="12.75">
      <c r="A260" s="29" t="s">
        <v>51</v>
      </c>
      <c r="B260" s="29" t="s">
        <v>52</v>
      </c>
      <c r="C260" s="30"/>
      <c r="D260" s="30"/>
      <c r="E260" s="30"/>
      <c r="F260" s="31"/>
      <c r="G260" s="29"/>
      <c r="H260" s="29" t="s">
        <v>53</v>
      </c>
      <c r="I260" s="30">
        <f>SUM(I261:I263,I264,I271,I272)</f>
        <v>34578</v>
      </c>
      <c r="J260" s="30">
        <f>SUM(J261:J263,J264,J271,J272)</f>
        <v>34719</v>
      </c>
      <c r="K260" s="30">
        <f>SUM(K261:K263,K264,K271,K272)</f>
        <v>42121</v>
      </c>
      <c r="L260" s="32">
        <f>K260/J260*100</f>
        <v>121.31973847173019</v>
      </c>
    </row>
    <row r="261" spans="1:12" ht="12.75">
      <c r="A261" s="33" t="s">
        <v>1</v>
      </c>
      <c r="B261" s="34" t="s">
        <v>54</v>
      </c>
      <c r="C261" s="35">
        <v>19693</v>
      </c>
      <c r="D261" s="35">
        <f>19125+395+80+93</f>
        <v>19693</v>
      </c>
      <c r="E261" s="35">
        <v>19351</v>
      </c>
      <c r="F261" s="32">
        <f>E261/D261*100</f>
        <v>98.26334230437212</v>
      </c>
      <c r="G261" s="29" t="s">
        <v>51</v>
      </c>
      <c r="H261" s="29" t="s">
        <v>55</v>
      </c>
      <c r="I261" s="36">
        <f>18500</f>
        <v>18500</v>
      </c>
      <c r="J261" s="36">
        <v>21640</v>
      </c>
      <c r="K261" s="30">
        <v>21897</v>
      </c>
      <c r="L261" s="32">
        <f>K261/J261*100</f>
        <v>101.18761552680222</v>
      </c>
    </row>
    <row r="262" spans="1:12" ht="12.75">
      <c r="A262" s="33" t="s">
        <v>3</v>
      </c>
      <c r="B262" s="34" t="s">
        <v>56</v>
      </c>
      <c r="C262" s="35">
        <v>0</v>
      </c>
      <c r="D262" s="35"/>
      <c r="E262" s="35">
        <f aca="true" t="shared" si="26" ref="E262:E275">SUM(C262:D262)</f>
        <v>0</v>
      </c>
      <c r="F262" s="32"/>
      <c r="G262" s="29" t="s">
        <v>57</v>
      </c>
      <c r="H262" s="29" t="s">
        <v>58</v>
      </c>
      <c r="I262" s="36">
        <v>6148</v>
      </c>
      <c r="J262" s="36">
        <v>3149</v>
      </c>
      <c r="K262" s="30">
        <v>7147</v>
      </c>
      <c r="L262" s="32">
        <f>K262/J262*100</f>
        <v>226.96093998094634</v>
      </c>
    </row>
    <row r="263" spans="1:12" ht="12.75">
      <c r="A263" s="37" t="s">
        <v>59</v>
      </c>
      <c r="B263" s="38" t="s">
        <v>60</v>
      </c>
      <c r="C263" s="36">
        <v>0</v>
      </c>
      <c r="D263" s="36">
        <v>0</v>
      </c>
      <c r="E263" s="35">
        <f t="shared" si="26"/>
        <v>0</v>
      </c>
      <c r="F263" s="32"/>
      <c r="G263" s="29" t="s">
        <v>61</v>
      </c>
      <c r="H263" s="29" t="s">
        <v>62</v>
      </c>
      <c r="I263" s="36">
        <v>9930</v>
      </c>
      <c r="J263" s="36">
        <f>2109+5212+2528+81</f>
        <v>9930</v>
      </c>
      <c r="K263" s="30">
        <f>1971+8656+2251+199</f>
        <v>13077</v>
      </c>
      <c r="L263" s="32">
        <f>K263/J263*100</f>
        <v>131.6918429003021</v>
      </c>
    </row>
    <row r="264" spans="1:12" ht="12.75">
      <c r="A264" s="37" t="s">
        <v>63</v>
      </c>
      <c r="B264" s="38" t="s">
        <v>64</v>
      </c>
      <c r="C264" s="36"/>
      <c r="D264" s="36"/>
      <c r="E264" s="35">
        <f t="shared" si="26"/>
        <v>0</v>
      </c>
      <c r="F264" s="32"/>
      <c r="G264" s="29" t="s">
        <v>65</v>
      </c>
      <c r="H264" s="29" t="s">
        <v>66</v>
      </c>
      <c r="I264" s="36"/>
      <c r="J264" s="36"/>
      <c r="K264" s="30">
        <f aca="true" t="shared" si="27" ref="K264:K270">SUM(H264:I264)</f>
        <v>0</v>
      </c>
      <c r="L264" s="32"/>
    </row>
    <row r="265" spans="1:12" ht="12.75">
      <c r="A265" s="37" t="s">
        <v>67</v>
      </c>
      <c r="B265" s="38" t="s">
        <v>68</v>
      </c>
      <c r="C265" s="36"/>
      <c r="D265" s="36"/>
      <c r="E265" s="35">
        <f t="shared" si="26"/>
        <v>0</v>
      </c>
      <c r="F265" s="32"/>
      <c r="G265" s="33" t="s">
        <v>1</v>
      </c>
      <c r="H265" s="38" t="s">
        <v>69</v>
      </c>
      <c r="I265" s="36"/>
      <c r="J265" s="36"/>
      <c r="K265" s="30">
        <f t="shared" si="27"/>
        <v>0</v>
      </c>
      <c r="L265" s="32"/>
    </row>
    <row r="266" spans="1:12" ht="12.75">
      <c r="A266" s="39" t="s">
        <v>70</v>
      </c>
      <c r="B266" s="29" t="s">
        <v>71</v>
      </c>
      <c r="C266" s="36"/>
      <c r="D266" s="36"/>
      <c r="E266" s="35">
        <f t="shared" si="26"/>
        <v>0</v>
      </c>
      <c r="F266" s="32"/>
      <c r="G266" s="33" t="s">
        <v>3</v>
      </c>
      <c r="H266" s="38" t="s">
        <v>72</v>
      </c>
      <c r="I266" s="36"/>
      <c r="J266" s="36"/>
      <c r="K266" s="30">
        <f t="shared" si="27"/>
        <v>0</v>
      </c>
      <c r="L266" s="32"/>
    </row>
    <row r="267" spans="1:12" ht="12.75">
      <c r="A267" s="33" t="s">
        <v>1</v>
      </c>
      <c r="B267" s="34" t="s">
        <v>73</v>
      </c>
      <c r="C267" s="35">
        <f>SUM(C268:C270)</f>
        <v>23539</v>
      </c>
      <c r="D267" s="35">
        <f>SUM(D268:D270)</f>
        <v>26945</v>
      </c>
      <c r="E267" s="35">
        <f>SUM(E268:E270)</f>
        <v>26945</v>
      </c>
      <c r="F267" s="32">
        <f>E267/D267*100</f>
        <v>100</v>
      </c>
      <c r="G267" s="33" t="s">
        <v>5</v>
      </c>
      <c r="H267" s="38" t="s">
        <v>74</v>
      </c>
      <c r="I267" s="36">
        <v>0</v>
      </c>
      <c r="J267" s="36">
        <v>0</v>
      </c>
      <c r="K267" s="30">
        <f t="shared" si="27"/>
        <v>0</v>
      </c>
      <c r="L267" s="32"/>
    </row>
    <row r="268" spans="1:12" ht="12.75">
      <c r="A268" s="33" t="s">
        <v>75</v>
      </c>
      <c r="B268" s="38" t="s">
        <v>76</v>
      </c>
      <c r="C268" s="36">
        <v>23454</v>
      </c>
      <c r="D268" s="36">
        <v>21616</v>
      </c>
      <c r="E268" s="35">
        <v>21616</v>
      </c>
      <c r="F268" s="32">
        <f>E268/D268*100</f>
        <v>100</v>
      </c>
      <c r="G268" s="33" t="s">
        <v>7</v>
      </c>
      <c r="H268" s="38" t="s">
        <v>77</v>
      </c>
      <c r="I268" s="36">
        <v>0</v>
      </c>
      <c r="J268" s="36">
        <v>0</v>
      </c>
      <c r="K268" s="30">
        <f t="shared" si="27"/>
        <v>0</v>
      </c>
      <c r="L268" s="32"/>
    </row>
    <row r="269" spans="1:12" ht="12.75">
      <c r="A269" s="33" t="s">
        <v>78</v>
      </c>
      <c r="B269" s="38" t="s">
        <v>155</v>
      </c>
      <c r="C269" s="36"/>
      <c r="D269" s="36">
        <v>5244</v>
      </c>
      <c r="E269" s="35">
        <v>5244</v>
      </c>
      <c r="F269" s="32">
        <f>E269/D269*100</f>
        <v>100</v>
      </c>
      <c r="G269" s="33" t="s">
        <v>11</v>
      </c>
      <c r="H269" s="38" t="s">
        <v>80</v>
      </c>
      <c r="I269" s="36">
        <v>0</v>
      </c>
      <c r="J269" s="36">
        <v>0</v>
      </c>
      <c r="K269" s="30">
        <f t="shared" si="27"/>
        <v>0</v>
      </c>
      <c r="L269" s="32"/>
    </row>
    <row r="270" spans="1:12" ht="12.75">
      <c r="A270" s="33" t="s">
        <v>81</v>
      </c>
      <c r="B270" s="38" t="s">
        <v>82</v>
      </c>
      <c r="C270" s="36">
        <v>85</v>
      </c>
      <c r="D270" s="36">
        <v>85</v>
      </c>
      <c r="E270" s="35">
        <v>85</v>
      </c>
      <c r="F270" s="32">
        <f>E270/D270*100</f>
        <v>100</v>
      </c>
      <c r="G270" s="33"/>
      <c r="H270" s="38"/>
      <c r="I270" s="36"/>
      <c r="J270" s="36"/>
      <c r="K270" s="30">
        <f t="shared" si="27"/>
        <v>0</v>
      </c>
      <c r="L270" s="32"/>
    </row>
    <row r="271" spans="1:12" ht="12.75">
      <c r="A271" s="29" t="s">
        <v>83</v>
      </c>
      <c r="B271" s="29" t="s">
        <v>84</v>
      </c>
      <c r="C271" s="36">
        <v>11100</v>
      </c>
      <c r="D271" s="36">
        <v>11100</v>
      </c>
      <c r="E271" s="35">
        <f>11100+18</f>
        <v>11118</v>
      </c>
      <c r="F271" s="32">
        <f>E271/D271*100</f>
        <v>100.16216216216216</v>
      </c>
      <c r="G271" s="29" t="s">
        <v>85</v>
      </c>
      <c r="H271" s="29" t="s">
        <v>86</v>
      </c>
      <c r="I271" s="36"/>
      <c r="J271" s="36"/>
      <c r="K271" s="36"/>
      <c r="L271" s="32"/>
    </row>
    <row r="272" spans="1:12" ht="12.75">
      <c r="A272" s="29" t="s">
        <v>87</v>
      </c>
      <c r="B272" s="29" t="s">
        <v>88</v>
      </c>
      <c r="C272" s="36"/>
      <c r="D272" s="36"/>
      <c r="E272" s="35">
        <f t="shared" si="26"/>
        <v>0</v>
      </c>
      <c r="F272" s="32"/>
      <c r="G272" s="29" t="s">
        <v>89</v>
      </c>
      <c r="H272" s="29" t="s">
        <v>90</v>
      </c>
      <c r="I272" s="36"/>
      <c r="J272" s="36"/>
      <c r="K272" s="36"/>
      <c r="L272" s="32"/>
    </row>
    <row r="273" spans="1:12" ht="12.75">
      <c r="A273" s="33"/>
      <c r="B273" s="38" t="s">
        <v>156</v>
      </c>
      <c r="C273" s="36"/>
      <c r="D273" s="36"/>
      <c r="E273" s="35">
        <f t="shared" si="26"/>
        <v>0</v>
      </c>
      <c r="F273" s="32"/>
      <c r="G273" s="33" t="s">
        <v>1</v>
      </c>
      <c r="H273" s="38" t="s">
        <v>92</v>
      </c>
      <c r="I273" s="36"/>
      <c r="J273" s="36"/>
      <c r="K273" s="36"/>
      <c r="L273" s="32"/>
    </row>
    <row r="274" spans="1:12" ht="12.75">
      <c r="A274" s="29" t="s">
        <v>93</v>
      </c>
      <c r="B274" s="29" t="s">
        <v>94</v>
      </c>
      <c r="C274" s="35">
        <v>0</v>
      </c>
      <c r="D274" s="35">
        <v>0</v>
      </c>
      <c r="E274" s="35"/>
      <c r="F274" s="32"/>
      <c r="G274" s="33" t="s">
        <v>3</v>
      </c>
      <c r="H274" s="38" t="s">
        <v>95</v>
      </c>
      <c r="I274" s="36"/>
      <c r="J274" s="36"/>
      <c r="K274" s="36"/>
      <c r="L274" s="32"/>
    </row>
    <row r="275" spans="1:12" ht="12.75">
      <c r="A275" s="29" t="s">
        <v>89</v>
      </c>
      <c r="B275" s="29" t="s">
        <v>96</v>
      </c>
      <c r="C275" s="36"/>
      <c r="D275" s="36"/>
      <c r="E275" s="35">
        <f t="shared" si="26"/>
        <v>0</v>
      </c>
      <c r="F275" s="32"/>
      <c r="G275" s="33"/>
      <c r="H275" s="38"/>
      <c r="I275" s="36"/>
      <c r="J275" s="36"/>
      <c r="K275" s="36"/>
      <c r="L275" s="32"/>
    </row>
    <row r="276" spans="1:12" ht="12.75">
      <c r="A276" s="33"/>
      <c r="B276" s="40" t="s">
        <v>97</v>
      </c>
      <c r="C276" s="41">
        <f>SUM(C261+C262+C267+C271+C272+C274+C275)</f>
        <v>54332</v>
      </c>
      <c r="D276" s="41">
        <f>SUM(D261+D262+D267+D271+D272+D274+D275)</f>
        <v>57738</v>
      </c>
      <c r="E276" s="41">
        <f>SUM(E261+E262+E267+E271+E272+E274+E275)</f>
        <v>57414</v>
      </c>
      <c r="F276" s="42">
        <f>E276/D276*100</f>
        <v>99.43884443520732</v>
      </c>
      <c r="G276" s="33"/>
      <c r="H276" s="40" t="s">
        <v>98</v>
      </c>
      <c r="I276" s="41">
        <f>SUM(I261:I263)</f>
        <v>34578</v>
      </c>
      <c r="J276" s="41">
        <f>SUM(J261:J263)</f>
        <v>34719</v>
      </c>
      <c r="K276" s="41">
        <f>SUM(K261:K264,K271)</f>
        <v>42121</v>
      </c>
      <c r="L276" s="42">
        <f>K276/J276*100</f>
        <v>121.31973847173019</v>
      </c>
    </row>
    <row r="277" spans="1:12" ht="12.75">
      <c r="A277" s="33"/>
      <c r="B277" s="43" t="s">
        <v>99</v>
      </c>
      <c r="C277" s="44">
        <f>I278-C276</f>
        <v>489</v>
      </c>
      <c r="D277" s="44"/>
      <c r="E277" s="44"/>
      <c r="F277" s="32"/>
      <c r="G277" s="33"/>
      <c r="H277" s="38" t="s">
        <v>100</v>
      </c>
      <c r="I277" s="44">
        <f>20528-285</f>
        <v>20243</v>
      </c>
      <c r="J277" s="44">
        <v>18443</v>
      </c>
      <c r="K277" s="36">
        <v>24277</v>
      </c>
      <c r="L277" s="32"/>
    </row>
    <row r="278" spans="1:12" ht="12.75">
      <c r="A278" s="33"/>
      <c r="B278" s="29" t="s">
        <v>101</v>
      </c>
      <c r="C278" s="36"/>
      <c r="D278" s="36"/>
      <c r="E278" s="36"/>
      <c r="F278" s="32"/>
      <c r="G278" s="33"/>
      <c r="H278" s="40" t="s">
        <v>102</v>
      </c>
      <c r="I278" s="41">
        <f>SUM(I276:I277)</f>
        <v>54821</v>
      </c>
      <c r="J278" s="41">
        <f>SUM(J276:J277)</f>
        <v>53162</v>
      </c>
      <c r="K278" s="41">
        <f>SUM(K276:K277)</f>
        <v>66398</v>
      </c>
      <c r="L278" s="42">
        <f>K278/J278*100</f>
        <v>124.89748316466648</v>
      </c>
    </row>
    <row r="279" spans="1:12" ht="12.75">
      <c r="A279" s="29" t="s">
        <v>103</v>
      </c>
      <c r="B279" s="29" t="s">
        <v>104</v>
      </c>
      <c r="C279" s="36"/>
      <c r="D279" s="36"/>
      <c r="E279" s="36"/>
      <c r="F279" s="32"/>
      <c r="G279" s="33"/>
      <c r="H279" s="43" t="s">
        <v>105</v>
      </c>
      <c r="I279" s="36"/>
      <c r="J279" s="36">
        <f>D276-J278</f>
        <v>4576</v>
      </c>
      <c r="K279" s="36"/>
      <c r="L279" s="32"/>
    </row>
    <row r="280" spans="1:12" ht="12.75">
      <c r="A280" s="29" t="s">
        <v>106</v>
      </c>
      <c r="B280" s="29" t="s">
        <v>107</v>
      </c>
      <c r="C280" s="36"/>
      <c r="D280" s="36"/>
      <c r="E280" s="36"/>
      <c r="F280" s="32"/>
      <c r="G280" s="33"/>
      <c r="H280" s="29" t="s">
        <v>108</v>
      </c>
      <c r="I280" s="36"/>
      <c r="J280" s="36"/>
      <c r="K280" s="36"/>
      <c r="L280" s="32"/>
    </row>
    <row r="281" spans="1:12" ht="12.75">
      <c r="A281" s="29" t="s">
        <v>109</v>
      </c>
      <c r="B281" s="29" t="s">
        <v>110</v>
      </c>
      <c r="C281" s="36"/>
      <c r="D281" s="36"/>
      <c r="E281" s="36"/>
      <c r="F281" s="32"/>
      <c r="G281" s="29" t="s">
        <v>61</v>
      </c>
      <c r="H281" s="29" t="s">
        <v>111</v>
      </c>
      <c r="I281" s="36"/>
      <c r="J281" s="36"/>
      <c r="K281" s="36"/>
      <c r="L281" s="32"/>
    </row>
    <row r="282" spans="1:12" ht="12.75">
      <c r="A282" s="29" t="s">
        <v>112</v>
      </c>
      <c r="B282" s="29" t="s">
        <v>113</v>
      </c>
      <c r="C282" s="36"/>
      <c r="D282" s="36"/>
      <c r="E282" s="36"/>
      <c r="F282" s="32"/>
      <c r="G282" s="29" t="s">
        <v>65</v>
      </c>
      <c r="H282" s="29" t="s">
        <v>66</v>
      </c>
      <c r="I282" s="36"/>
      <c r="J282" s="36"/>
      <c r="K282" s="36"/>
      <c r="L282" s="32"/>
    </row>
    <row r="283" spans="1:12" ht="12.75">
      <c r="A283" s="29" t="s">
        <v>61</v>
      </c>
      <c r="B283" s="29" t="s">
        <v>114</v>
      </c>
      <c r="C283" s="36"/>
      <c r="D283" s="36"/>
      <c r="E283" s="36"/>
      <c r="F283" s="32"/>
      <c r="G283" s="33" t="s">
        <v>1</v>
      </c>
      <c r="H283" s="38" t="s">
        <v>69</v>
      </c>
      <c r="I283" s="36"/>
      <c r="J283" s="36"/>
      <c r="K283" s="36"/>
      <c r="L283" s="32"/>
    </row>
    <row r="284" spans="1:12" ht="12.75">
      <c r="A284" s="33" t="s">
        <v>1</v>
      </c>
      <c r="B284" s="45" t="s">
        <v>115</v>
      </c>
      <c r="C284" s="36"/>
      <c r="D284" s="36"/>
      <c r="E284" s="36"/>
      <c r="F284" s="32"/>
      <c r="G284" s="33" t="s">
        <v>3</v>
      </c>
      <c r="H284" s="38" t="s">
        <v>116</v>
      </c>
      <c r="I284" s="36"/>
      <c r="J284" s="36"/>
      <c r="K284" s="36"/>
      <c r="L284" s="32"/>
    </row>
    <row r="285" spans="1:12" ht="12.75">
      <c r="A285" s="33" t="s">
        <v>3</v>
      </c>
      <c r="B285" s="45" t="s">
        <v>117</v>
      </c>
      <c r="C285" s="36"/>
      <c r="D285" s="36"/>
      <c r="E285" s="36"/>
      <c r="F285" s="32"/>
      <c r="G285" s="29" t="s">
        <v>118</v>
      </c>
      <c r="H285" s="29" t="s">
        <v>119</v>
      </c>
      <c r="I285" s="36"/>
      <c r="J285" s="36"/>
      <c r="K285" s="36"/>
      <c r="L285" s="32"/>
    </row>
    <row r="286" spans="1:12" ht="12.75">
      <c r="A286" s="33" t="s">
        <v>5</v>
      </c>
      <c r="B286" s="45" t="s">
        <v>120</v>
      </c>
      <c r="C286" s="36"/>
      <c r="D286" s="36"/>
      <c r="E286" s="36"/>
      <c r="F286" s="32"/>
      <c r="G286" s="33" t="s">
        <v>1</v>
      </c>
      <c r="H286" s="45" t="s">
        <v>121</v>
      </c>
      <c r="I286" s="36"/>
      <c r="J286" s="36"/>
      <c r="K286" s="36"/>
      <c r="L286" s="32"/>
    </row>
    <row r="287" spans="1:12" ht="12.75">
      <c r="A287" s="29" t="s">
        <v>122</v>
      </c>
      <c r="B287" s="29" t="s">
        <v>123</v>
      </c>
      <c r="C287" s="36"/>
      <c r="D287" s="36"/>
      <c r="E287" s="36"/>
      <c r="F287" s="32"/>
      <c r="G287" s="33" t="s">
        <v>3</v>
      </c>
      <c r="H287" s="45" t="s">
        <v>124</v>
      </c>
      <c r="I287" s="36"/>
      <c r="J287" s="36"/>
      <c r="K287" s="36"/>
      <c r="L287" s="32"/>
    </row>
    <row r="288" spans="1:12" ht="12.75">
      <c r="A288" s="29" t="s">
        <v>125</v>
      </c>
      <c r="B288" s="29" t="s">
        <v>126</v>
      </c>
      <c r="C288" s="36"/>
      <c r="D288" s="36"/>
      <c r="E288" s="36"/>
      <c r="F288" s="32"/>
      <c r="G288" s="33" t="s">
        <v>5</v>
      </c>
      <c r="H288" s="38" t="s">
        <v>127</v>
      </c>
      <c r="I288" s="36"/>
      <c r="J288" s="36"/>
      <c r="K288" s="36"/>
      <c r="L288" s="32"/>
    </row>
    <row r="289" spans="1:12" ht="12.75">
      <c r="A289" s="29" t="s">
        <v>118</v>
      </c>
      <c r="B289" s="29" t="s">
        <v>128</v>
      </c>
      <c r="C289" s="36">
        <v>0</v>
      </c>
      <c r="D289" s="36">
        <v>0</v>
      </c>
      <c r="E289" s="36"/>
      <c r="F289" s="32"/>
      <c r="G289" s="29" t="s">
        <v>85</v>
      </c>
      <c r="H289" s="29" t="s">
        <v>129</v>
      </c>
      <c r="I289" s="36"/>
      <c r="J289" s="36"/>
      <c r="K289" s="36">
        <v>290</v>
      </c>
      <c r="L289" s="32"/>
    </row>
    <row r="290" spans="1:12" ht="12.75">
      <c r="A290" s="29" t="s">
        <v>85</v>
      </c>
      <c r="B290" s="29" t="s">
        <v>129</v>
      </c>
      <c r="C290" s="36">
        <v>0</v>
      </c>
      <c r="D290" s="36">
        <v>0</v>
      </c>
      <c r="E290" s="36"/>
      <c r="F290" s="32"/>
      <c r="G290" s="29" t="s">
        <v>89</v>
      </c>
      <c r="H290" s="29" t="s">
        <v>90</v>
      </c>
      <c r="I290" s="36"/>
      <c r="J290" s="36"/>
      <c r="K290" s="36"/>
      <c r="L290" s="32"/>
    </row>
    <row r="291" spans="1:12" ht="12.75">
      <c r="A291" s="29" t="s">
        <v>89</v>
      </c>
      <c r="B291" s="29" t="s">
        <v>96</v>
      </c>
      <c r="C291" s="36">
        <v>0</v>
      </c>
      <c r="D291" s="36">
        <v>0</v>
      </c>
      <c r="E291" s="36"/>
      <c r="F291" s="32"/>
      <c r="G291" s="33" t="s">
        <v>1</v>
      </c>
      <c r="H291" s="38" t="s">
        <v>92</v>
      </c>
      <c r="I291" s="36"/>
      <c r="J291" s="36"/>
      <c r="K291" s="36"/>
      <c r="L291" s="32"/>
    </row>
    <row r="292" spans="1:12" ht="12.75">
      <c r="A292" s="33"/>
      <c r="B292" s="40" t="s">
        <v>130</v>
      </c>
      <c r="C292" s="41">
        <f>SUM(C289:C291)</f>
        <v>0</v>
      </c>
      <c r="D292" s="41">
        <f>SUM(D289:D291)</f>
        <v>0</v>
      </c>
      <c r="E292" s="41"/>
      <c r="F292" s="42"/>
      <c r="G292" s="33" t="s">
        <v>142</v>
      </c>
      <c r="H292" s="40" t="s">
        <v>131</v>
      </c>
      <c r="I292" s="41">
        <f>SUM(I289:I291)</f>
        <v>0</v>
      </c>
      <c r="J292" s="41">
        <f>SUM(J289:J291)</f>
        <v>0</v>
      </c>
      <c r="K292" s="41">
        <f>SUM(K281+K282+K285+K289+K290)</f>
        <v>290</v>
      </c>
      <c r="L292" s="42"/>
    </row>
    <row r="293" spans="1:12" ht="12.75">
      <c r="A293" s="33"/>
      <c r="B293" s="43" t="s">
        <v>134</v>
      </c>
      <c r="C293" s="44"/>
      <c r="D293" s="44"/>
      <c r="E293" s="46"/>
      <c r="F293" s="32"/>
      <c r="G293" s="33" t="s">
        <v>143</v>
      </c>
      <c r="H293" s="38" t="s">
        <v>135</v>
      </c>
      <c r="I293" s="36">
        <f>C292-I292</f>
        <v>0</v>
      </c>
      <c r="J293" s="36">
        <f>D292-J292</f>
        <v>0</v>
      </c>
      <c r="K293" s="36"/>
      <c r="L293" s="32"/>
    </row>
    <row r="294" spans="1:12" ht="12.75">
      <c r="A294" s="33"/>
      <c r="B294" s="47" t="s">
        <v>136</v>
      </c>
      <c r="C294" s="48">
        <f>SUM(C293+C277)</f>
        <v>489</v>
      </c>
      <c r="D294" s="48"/>
      <c r="E294" s="48"/>
      <c r="F294" s="32"/>
      <c r="G294" s="33" t="s">
        <v>144</v>
      </c>
      <c r="H294" s="47" t="s">
        <v>137</v>
      </c>
      <c r="I294" s="35"/>
      <c r="J294" s="35">
        <f>SUM(J279,J293)</f>
        <v>4576</v>
      </c>
      <c r="K294" s="36"/>
      <c r="L294" s="32"/>
    </row>
    <row r="295" spans="1:12" ht="12.75">
      <c r="A295" s="33"/>
      <c r="B295" s="40" t="s">
        <v>161</v>
      </c>
      <c r="C295" s="41">
        <f>SUM(C292+C276+C294)</f>
        <v>54821</v>
      </c>
      <c r="D295" s="41">
        <f>SUM(D292+D276+D294)</f>
        <v>57738</v>
      </c>
      <c r="E295" s="41">
        <f>SUM(E292+E276+E294)</f>
        <v>57414</v>
      </c>
      <c r="F295" s="42">
        <f>E295/D295*100</f>
        <v>99.43884443520732</v>
      </c>
      <c r="G295" s="33" t="s">
        <v>146</v>
      </c>
      <c r="H295" s="40" t="s">
        <v>161</v>
      </c>
      <c r="I295" s="41">
        <f>SUM(I278,I292,I294)</f>
        <v>54821</v>
      </c>
      <c r="J295" s="41">
        <f>SUM(J278,J292,J294)</f>
        <v>57738</v>
      </c>
      <c r="K295" s="41">
        <f>SUM(K278,K292,K294)</f>
        <v>66688</v>
      </c>
      <c r="L295" s="42">
        <f>K295/J295*100</f>
        <v>115.50105649658803</v>
      </c>
    </row>
    <row r="296" spans="1:12" ht="12.75" customHeight="1">
      <c r="A296" s="19" t="s">
        <v>162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1:12" ht="21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1:12" ht="12.75">
      <c r="A298" s="20" t="s">
        <v>148</v>
      </c>
      <c r="B298" s="21"/>
      <c r="C298" s="22"/>
      <c r="D298" s="22"/>
      <c r="E298" s="22"/>
      <c r="F298" s="23"/>
      <c r="G298" s="21"/>
      <c r="H298" s="21"/>
      <c r="I298" s="24" t="s">
        <v>43</v>
      </c>
      <c r="J298" s="24"/>
      <c r="K298" s="24"/>
      <c r="L298" s="24"/>
    </row>
    <row r="299" spans="1:12" ht="12.75" customHeight="1">
      <c r="A299" s="25" t="s">
        <v>44</v>
      </c>
      <c r="B299" s="26" t="s">
        <v>45</v>
      </c>
      <c r="C299" s="27" t="s">
        <v>46</v>
      </c>
      <c r="D299" s="27" t="s">
        <v>47</v>
      </c>
      <c r="E299" s="27" t="s">
        <v>48</v>
      </c>
      <c r="F299" s="28" t="s">
        <v>49</v>
      </c>
      <c r="G299" s="25" t="s">
        <v>44</v>
      </c>
      <c r="H299" s="26" t="s">
        <v>50</v>
      </c>
      <c r="I299" s="27" t="s">
        <v>46</v>
      </c>
      <c r="J299" s="27" t="s">
        <v>47</v>
      </c>
      <c r="K299" s="27" t="s">
        <v>48</v>
      </c>
      <c r="L299" s="28" t="s">
        <v>49</v>
      </c>
    </row>
    <row r="300" spans="1:12" ht="12.75" customHeight="1">
      <c r="A300" s="25"/>
      <c r="B300" s="26"/>
      <c r="C300" s="27"/>
      <c r="D300" s="27"/>
      <c r="E300" s="27"/>
      <c r="F300" s="28"/>
      <c r="G300" s="25"/>
      <c r="H300" s="26"/>
      <c r="I300" s="27"/>
      <c r="J300" s="27"/>
      <c r="K300" s="27"/>
      <c r="L300" s="28"/>
    </row>
    <row r="301" spans="1:12" ht="12.75">
      <c r="A301" s="25"/>
      <c r="B301" s="26"/>
      <c r="C301" s="27"/>
      <c r="D301" s="27"/>
      <c r="E301" s="27"/>
      <c r="F301" s="28"/>
      <c r="G301" s="25"/>
      <c r="H301" s="26"/>
      <c r="I301" s="27"/>
      <c r="J301" s="27"/>
      <c r="K301" s="27"/>
      <c r="L301" s="28"/>
    </row>
    <row r="302" spans="1:12" ht="12.75">
      <c r="A302" s="29" t="s">
        <v>51</v>
      </c>
      <c r="B302" s="29" t="s">
        <v>52</v>
      </c>
      <c r="C302" s="30"/>
      <c r="D302" s="30"/>
      <c r="E302" s="30"/>
      <c r="F302" s="31"/>
      <c r="G302" s="29"/>
      <c r="H302" s="29" t="s">
        <v>53</v>
      </c>
      <c r="I302" s="30">
        <f>SUM(I303:I305,I306,I313,I314)</f>
        <v>34485</v>
      </c>
      <c r="J302" s="30">
        <f>SUM(J303:J305,J306,J313,J314)</f>
        <v>36784</v>
      </c>
      <c r="K302" s="30">
        <f>SUM(K303:K305,K306,K313,K314)</f>
        <v>35834</v>
      </c>
      <c r="L302" s="32">
        <f aca="true" t="shared" si="28" ref="L302:L307">K302/J302*100</f>
        <v>97.41735537190083</v>
      </c>
    </row>
    <row r="303" spans="1:12" ht="12.75">
      <c r="A303" s="33" t="s">
        <v>1</v>
      </c>
      <c r="B303" s="34" t="s">
        <v>54</v>
      </c>
      <c r="C303" s="35">
        <v>0</v>
      </c>
      <c r="D303" s="35">
        <v>240</v>
      </c>
      <c r="E303" s="35">
        <v>739</v>
      </c>
      <c r="F303" s="32">
        <f>E303/D303*100</f>
        <v>307.9166666666667</v>
      </c>
      <c r="G303" s="29" t="s">
        <v>51</v>
      </c>
      <c r="H303" s="29" t="s">
        <v>55</v>
      </c>
      <c r="I303" s="36">
        <v>22927</v>
      </c>
      <c r="J303" s="36">
        <v>27166</v>
      </c>
      <c r="K303" s="30">
        <v>25640</v>
      </c>
      <c r="L303" s="32">
        <f t="shared" si="28"/>
        <v>94.38268423765001</v>
      </c>
    </row>
    <row r="304" spans="1:12" ht="12.75">
      <c r="A304" s="33" t="s">
        <v>3</v>
      </c>
      <c r="B304" s="34" t="s">
        <v>56</v>
      </c>
      <c r="C304" s="35">
        <v>0</v>
      </c>
      <c r="D304" s="35">
        <v>0</v>
      </c>
      <c r="E304" s="35"/>
      <c r="F304" s="32"/>
      <c r="G304" s="29" t="s">
        <v>57</v>
      </c>
      <c r="H304" s="29" t="s">
        <v>58</v>
      </c>
      <c r="I304" s="36">
        <v>7649</v>
      </c>
      <c r="J304" s="36">
        <v>6213</v>
      </c>
      <c r="K304" s="30">
        <v>7582</v>
      </c>
      <c r="L304" s="32">
        <f t="shared" si="28"/>
        <v>122.03444390793496</v>
      </c>
    </row>
    <row r="305" spans="1:12" ht="12.75">
      <c r="A305" s="37" t="s">
        <v>59</v>
      </c>
      <c r="B305" s="38" t="s">
        <v>60</v>
      </c>
      <c r="C305" s="36">
        <v>0</v>
      </c>
      <c r="D305" s="36">
        <v>0</v>
      </c>
      <c r="E305" s="36"/>
      <c r="F305" s="32"/>
      <c r="G305" s="29" t="s">
        <v>61</v>
      </c>
      <c r="H305" s="29" t="s">
        <v>62</v>
      </c>
      <c r="I305" s="36">
        <v>2621</v>
      </c>
      <c r="J305" s="36">
        <v>2096</v>
      </c>
      <c r="K305" s="30">
        <f>125+1399+1025+41</f>
        <v>2590</v>
      </c>
      <c r="L305" s="32">
        <f t="shared" si="28"/>
        <v>123.56870229007633</v>
      </c>
    </row>
    <row r="306" spans="1:12" ht="12.75">
      <c r="A306" s="37" t="s">
        <v>63</v>
      </c>
      <c r="B306" s="38" t="s">
        <v>64</v>
      </c>
      <c r="C306" s="36">
        <v>0</v>
      </c>
      <c r="D306" s="36">
        <v>0</v>
      </c>
      <c r="E306" s="36"/>
      <c r="F306" s="32"/>
      <c r="G306" s="29" t="s">
        <v>65</v>
      </c>
      <c r="H306" s="29" t="s">
        <v>66</v>
      </c>
      <c r="I306" s="36">
        <f>SUM(I307:I311)</f>
        <v>1288</v>
      </c>
      <c r="J306" s="36">
        <f>SUM(J307:J311)</f>
        <v>1309</v>
      </c>
      <c r="K306" s="56">
        <f>SUM(K307:K311)</f>
        <v>22</v>
      </c>
      <c r="L306" s="32">
        <f t="shared" si="28"/>
        <v>1.680672268907563</v>
      </c>
    </row>
    <row r="307" spans="1:12" ht="12.75">
      <c r="A307" s="37" t="s">
        <v>67</v>
      </c>
      <c r="B307" s="38" t="s">
        <v>68</v>
      </c>
      <c r="C307" s="36"/>
      <c r="D307" s="36"/>
      <c r="E307" s="36"/>
      <c r="F307" s="32"/>
      <c r="G307" s="33" t="s">
        <v>1</v>
      </c>
      <c r="H307" s="38" t="s">
        <v>69</v>
      </c>
      <c r="I307" s="36">
        <v>1288</v>
      </c>
      <c r="J307" s="36">
        <v>1309</v>
      </c>
      <c r="K307" s="56">
        <v>22</v>
      </c>
      <c r="L307" s="32">
        <f t="shared" si="28"/>
        <v>1.680672268907563</v>
      </c>
    </row>
    <row r="308" spans="1:12" ht="12.75">
      <c r="A308" s="39" t="s">
        <v>70</v>
      </c>
      <c r="B308" s="29" t="s">
        <v>71</v>
      </c>
      <c r="C308" s="36"/>
      <c r="D308" s="36"/>
      <c r="E308" s="36"/>
      <c r="F308" s="32"/>
      <c r="G308" s="33" t="s">
        <v>3</v>
      </c>
      <c r="H308" s="38" t="s">
        <v>72</v>
      </c>
      <c r="I308" s="36"/>
      <c r="J308" s="36"/>
      <c r="K308" s="30"/>
      <c r="L308" s="32"/>
    </row>
    <row r="309" spans="1:12" ht="12.75">
      <c r="A309" s="33" t="s">
        <v>1</v>
      </c>
      <c r="B309" s="34" t="s">
        <v>73</v>
      </c>
      <c r="C309" s="35">
        <f>SUM(C310:C312)</f>
        <v>20454</v>
      </c>
      <c r="D309" s="35">
        <f>SUM(D310:D312)</f>
        <v>17802</v>
      </c>
      <c r="E309" s="35">
        <f>SUM(E310:E312)</f>
        <v>17733</v>
      </c>
      <c r="F309" s="32">
        <f>E309/D309*100</f>
        <v>99.6124031007752</v>
      </c>
      <c r="G309" s="33" t="s">
        <v>5</v>
      </c>
      <c r="H309" s="38" t="s">
        <v>74</v>
      </c>
      <c r="I309" s="36">
        <v>0</v>
      </c>
      <c r="J309" s="36"/>
      <c r="K309" s="30"/>
      <c r="L309" s="32"/>
    </row>
    <row r="310" spans="1:12" ht="12.75">
      <c r="A310" s="33" t="s">
        <v>75</v>
      </c>
      <c r="B310" s="38" t="s">
        <v>76</v>
      </c>
      <c r="C310" s="36">
        <v>20360</v>
      </c>
      <c r="D310" s="36">
        <v>16842</v>
      </c>
      <c r="E310" s="36">
        <v>16773</v>
      </c>
      <c r="F310" s="32">
        <f>E310/D310*100</f>
        <v>99.59030993943712</v>
      </c>
      <c r="G310" s="33" t="s">
        <v>7</v>
      </c>
      <c r="H310" s="38" t="s">
        <v>77</v>
      </c>
      <c r="I310" s="36">
        <v>0</v>
      </c>
      <c r="J310" s="36"/>
      <c r="K310" s="30"/>
      <c r="L310" s="32"/>
    </row>
    <row r="311" spans="1:12" ht="12.75">
      <c r="A311" s="33" t="s">
        <v>78</v>
      </c>
      <c r="B311" s="38" t="s">
        <v>155</v>
      </c>
      <c r="C311" s="36"/>
      <c r="D311" s="36">
        <v>866</v>
      </c>
      <c r="E311" s="36">
        <v>866</v>
      </c>
      <c r="F311" s="32">
        <f>E311/D311*100</f>
        <v>100</v>
      </c>
      <c r="G311" s="33" t="s">
        <v>11</v>
      </c>
      <c r="H311" s="38" t="s">
        <v>80</v>
      </c>
      <c r="I311" s="36">
        <v>0</v>
      </c>
      <c r="J311" s="36"/>
      <c r="K311" s="30"/>
      <c r="L311" s="32"/>
    </row>
    <row r="312" spans="1:12" ht="12.75">
      <c r="A312" s="33" t="s">
        <v>81</v>
      </c>
      <c r="B312" s="38" t="s">
        <v>82</v>
      </c>
      <c r="C312" s="36">
        <v>94</v>
      </c>
      <c r="D312" s="36">
        <v>94</v>
      </c>
      <c r="E312" s="36">
        <v>94</v>
      </c>
      <c r="F312" s="32">
        <f>E312/D312*100</f>
        <v>100</v>
      </c>
      <c r="G312" s="33"/>
      <c r="H312" s="38"/>
      <c r="I312" s="36"/>
      <c r="J312" s="36"/>
      <c r="K312" s="36"/>
      <c r="L312" s="32"/>
    </row>
    <row r="313" spans="1:12" ht="12.75">
      <c r="A313" s="29" t="s">
        <v>83</v>
      </c>
      <c r="B313" s="29" t="s">
        <v>84</v>
      </c>
      <c r="C313" s="36">
        <v>11674</v>
      </c>
      <c r="D313" s="36">
        <v>11043</v>
      </c>
      <c r="E313" s="36">
        <v>8991</v>
      </c>
      <c r="F313" s="32">
        <f>E313/D313*100</f>
        <v>81.41809290953546</v>
      </c>
      <c r="G313" s="29" t="s">
        <v>85</v>
      </c>
      <c r="H313" s="29" t="s">
        <v>86</v>
      </c>
      <c r="I313" s="36"/>
      <c r="J313" s="36"/>
      <c r="K313" s="36"/>
      <c r="L313" s="32"/>
    </row>
    <row r="314" spans="1:12" ht="12.75">
      <c r="A314" s="29" t="s">
        <v>87</v>
      </c>
      <c r="B314" s="29" t="s">
        <v>88</v>
      </c>
      <c r="C314" s="36"/>
      <c r="D314" s="36"/>
      <c r="E314" s="36">
        <f>SUM(C314:D314)</f>
        <v>0</v>
      </c>
      <c r="F314" s="32"/>
      <c r="G314" s="29" t="s">
        <v>89</v>
      </c>
      <c r="H314" s="29" t="s">
        <v>90</v>
      </c>
      <c r="I314" s="36"/>
      <c r="J314" s="36"/>
      <c r="K314" s="36"/>
      <c r="L314" s="32"/>
    </row>
    <row r="315" spans="1:12" ht="12.75">
      <c r="A315" s="33"/>
      <c r="B315" s="38" t="s">
        <v>156</v>
      </c>
      <c r="C315" s="36"/>
      <c r="D315" s="36"/>
      <c r="E315" s="36">
        <f>SUM(C315:D315)</f>
        <v>0</v>
      </c>
      <c r="F315" s="32"/>
      <c r="G315" s="33" t="s">
        <v>1</v>
      </c>
      <c r="H315" s="38" t="s">
        <v>92</v>
      </c>
      <c r="I315" s="36"/>
      <c r="J315" s="36"/>
      <c r="K315" s="36"/>
      <c r="L315" s="32"/>
    </row>
    <row r="316" spans="1:12" ht="12.75">
      <c r="A316" s="29" t="s">
        <v>93</v>
      </c>
      <c r="B316" s="29" t="s">
        <v>94</v>
      </c>
      <c r="C316" s="35">
        <v>0</v>
      </c>
      <c r="D316" s="35">
        <v>0</v>
      </c>
      <c r="E316" s="54"/>
      <c r="F316" s="32"/>
      <c r="G316" s="33" t="s">
        <v>3</v>
      </c>
      <c r="H316" s="38" t="s">
        <v>95</v>
      </c>
      <c r="I316" s="36"/>
      <c r="J316" s="36"/>
      <c r="K316" s="36"/>
      <c r="L316" s="32"/>
    </row>
    <row r="317" spans="1:12" ht="12.75">
      <c r="A317" s="29" t="s">
        <v>89</v>
      </c>
      <c r="B317" s="29" t="s">
        <v>96</v>
      </c>
      <c r="C317" s="36"/>
      <c r="D317" s="36"/>
      <c r="E317" s="36"/>
      <c r="F317" s="32"/>
      <c r="G317" s="33"/>
      <c r="H317" s="38"/>
      <c r="I317" s="36"/>
      <c r="J317" s="36"/>
      <c r="K317" s="36"/>
      <c r="L317" s="32"/>
    </row>
    <row r="318" spans="1:12" ht="12.75">
      <c r="A318" s="33"/>
      <c r="B318" s="40" t="s">
        <v>97</v>
      </c>
      <c r="C318" s="41">
        <f>SUM(C303+C304+C309+C313+C314+C316+C317)</f>
        <v>32128</v>
      </c>
      <c r="D318" s="41">
        <f>SUM(D303+D304+D309+D313+D314+D316+D317)</f>
        <v>29085</v>
      </c>
      <c r="E318" s="41">
        <f>SUM(E303+E304+E309+E313+E314+E316+E317)</f>
        <v>27463</v>
      </c>
      <c r="F318" s="42">
        <f>E318/D318*100</f>
        <v>94.42324222107615</v>
      </c>
      <c r="G318" s="33"/>
      <c r="H318" s="40" t="s">
        <v>98</v>
      </c>
      <c r="I318" s="41">
        <f>SUM(I303:I306)</f>
        <v>34485</v>
      </c>
      <c r="J318" s="41">
        <f>SUM(J303:J306)</f>
        <v>36784</v>
      </c>
      <c r="K318" s="41">
        <f>SUM(K303:K306)</f>
        <v>35834</v>
      </c>
      <c r="L318" s="42">
        <f>K318/J318*100</f>
        <v>97.41735537190083</v>
      </c>
    </row>
    <row r="319" spans="1:12" ht="12.75">
      <c r="A319" s="33"/>
      <c r="B319" s="43" t="s">
        <v>99</v>
      </c>
      <c r="C319" s="44">
        <f>I318-C318</f>
        <v>2357</v>
      </c>
      <c r="D319" s="44">
        <f>J318-D318</f>
        <v>7699</v>
      </c>
      <c r="E319" s="44"/>
      <c r="F319" s="32"/>
      <c r="G319" s="33"/>
      <c r="H319" s="38" t="s">
        <v>100</v>
      </c>
      <c r="I319" s="44"/>
      <c r="J319" s="44"/>
      <c r="K319" s="36">
        <v>476</v>
      </c>
      <c r="L319" s="32"/>
    </row>
    <row r="320" spans="1:12" ht="12.75">
      <c r="A320" s="33"/>
      <c r="B320" s="29" t="s">
        <v>101</v>
      </c>
      <c r="C320" s="36"/>
      <c r="D320" s="36"/>
      <c r="E320" s="36"/>
      <c r="F320" s="32"/>
      <c r="G320" s="33"/>
      <c r="H320" s="40" t="s">
        <v>102</v>
      </c>
      <c r="I320" s="41">
        <f>SUM(I318:I319)</f>
        <v>34485</v>
      </c>
      <c r="J320" s="41">
        <f>SUM(J318:J319)</f>
        <v>36784</v>
      </c>
      <c r="K320" s="41">
        <f>SUM(K318:K319)</f>
        <v>36310</v>
      </c>
      <c r="L320" s="42">
        <f>K320/J320*100</f>
        <v>98.71139625924314</v>
      </c>
    </row>
    <row r="321" spans="1:12" ht="12.75">
      <c r="A321" s="29" t="s">
        <v>103</v>
      </c>
      <c r="B321" s="29" t="s">
        <v>104</v>
      </c>
      <c r="C321" s="36"/>
      <c r="D321" s="36"/>
      <c r="E321" s="36"/>
      <c r="F321" s="32"/>
      <c r="G321" s="33"/>
      <c r="H321" s="43" t="s">
        <v>105</v>
      </c>
      <c r="I321" s="36"/>
      <c r="J321" s="36"/>
      <c r="K321" s="36"/>
      <c r="L321" s="32"/>
    </row>
    <row r="322" spans="1:12" ht="12.75">
      <c r="A322" s="29" t="s">
        <v>106</v>
      </c>
      <c r="B322" s="29" t="s">
        <v>107</v>
      </c>
      <c r="C322" s="36"/>
      <c r="D322" s="36"/>
      <c r="E322" s="36"/>
      <c r="F322" s="32"/>
      <c r="G322" s="33"/>
      <c r="H322" s="29" t="s">
        <v>108</v>
      </c>
      <c r="I322" s="36"/>
      <c r="J322" s="36"/>
      <c r="K322" s="36"/>
      <c r="L322" s="32"/>
    </row>
    <row r="323" spans="1:12" ht="12.75">
      <c r="A323" s="29" t="s">
        <v>109</v>
      </c>
      <c r="B323" s="29" t="s">
        <v>110</v>
      </c>
      <c r="C323" s="36"/>
      <c r="D323" s="36"/>
      <c r="E323" s="36"/>
      <c r="F323" s="32"/>
      <c r="G323" s="29" t="s">
        <v>61</v>
      </c>
      <c r="H323" s="29" t="s">
        <v>111</v>
      </c>
      <c r="I323" s="36"/>
      <c r="J323" s="36"/>
      <c r="K323" s="36"/>
      <c r="L323" s="32"/>
    </row>
    <row r="324" spans="1:12" ht="12.75">
      <c r="A324" s="29" t="s">
        <v>112</v>
      </c>
      <c r="B324" s="29" t="s">
        <v>113</v>
      </c>
      <c r="C324" s="36"/>
      <c r="D324" s="36"/>
      <c r="E324" s="36"/>
      <c r="F324" s="32"/>
      <c r="G324" s="29" t="s">
        <v>65</v>
      </c>
      <c r="H324" s="29" t="s">
        <v>66</v>
      </c>
      <c r="I324" s="36"/>
      <c r="J324" s="36"/>
      <c r="K324" s="36"/>
      <c r="L324" s="32"/>
    </row>
    <row r="325" spans="1:12" ht="12.75">
      <c r="A325" s="29" t="s">
        <v>61</v>
      </c>
      <c r="B325" s="29" t="s">
        <v>114</v>
      </c>
      <c r="C325" s="36"/>
      <c r="D325" s="36"/>
      <c r="E325" s="36"/>
      <c r="F325" s="32"/>
      <c r="G325" s="33" t="s">
        <v>1</v>
      </c>
      <c r="H325" s="38" t="s">
        <v>69</v>
      </c>
      <c r="I325" s="36"/>
      <c r="J325" s="36"/>
      <c r="K325" s="36"/>
      <c r="L325" s="32"/>
    </row>
    <row r="326" spans="1:12" ht="12.75">
      <c r="A326" s="33" t="s">
        <v>1</v>
      </c>
      <c r="B326" s="45" t="s">
        <v>115</v>
      </c>
      <c r="C326" s="36"/>
      <c r="D326" s="36"/>
      <c r="E326" s="36"/>
      <c r="F326" s="32"/>
      <c r="G326" s="33" t="s">
        <v>3</v>
      </c>
      <c r="H326" s="38" t="s">
        <v>116</v>
      </c>
      <c r="I326" s="36"/>
      <c r="J326" s="36"/>
      <c r="K326" s="36"/>
      <c r="L326" s="32"/>
    </row>
    <row r="327" spans="1:12" ht="12.75">
      <c r="A327" s="33" t="s">
        <v>3</v>
      </c>
      <c r="B327" s="45" t="s">
        <v>117</v>
      </c>
      <c r="C327" s="36"/>
      <c r="D327" s="36"/>
      <c r="E327" s="36"/>
      <c r="F327" s="32"/>
      <c r="G327" s="29" t="s">
        <v>118</v>
      </c>
      <c r="H327" s="29" t="s">
        <v>119</v>
      </c>
      <c r="I327" s="36"/>
      <c r="J327" s="36"/>
      <c r="K327" s="36"/>
      <c r="L327" s="32"/>
    </row>
    <row r="328" spans="1:12" ht="12.75">
      <c r="A328" s="33" t="s">
        <v>5</v>
      </c>
      <c r="B328" s="45" t="s">
        <v>120</v>
      </c>
      <c r="C328" s="36"/>
      <c r="D328" s="36"/>
      <c r="E328" s="36"/>
      <c r="F328" s="32"/>
      <c r="G328" s="33" t="s">
        <v>1</v>
      </c>
      <c r="H328" s="45" t="s">
        <v>121</v>
      </c>
      <c r="I328" s="36"/>
      <c r="J328" s="36"/>
      <c r="K328" s="36"/>
      <c r="L328" s="32"/>
    </row>
    <row r="329" spans="1:12" ht="12.75">
      <c r="A329" s="29" t="s">
        <v>122</v>
      </c>
      <c r="B329" s="29" t="s">
        <v>123</v>
      </c>
      <c r="C329" s="36"/>
      <c r="D329" s="36"/>
      <c r="E329" s="36"/>
      <c r="F329" s="32"/>
      <c r="G329" s="33" t="s">
        <v>3</v>
      </c>
      <c r="H329" s="45" t="s">
        <v>124</v>
      </c>
      <c r="I329" s="36"/>
      <c r="J329" s="36"/>
      <c r="K329" s="36"/>
      <c r="L329" s="32"/>
    </row>
    <row r="330" spans="1:12" ht="12.75">
      <c r="A330" s="29" t="s">
        <v>125</v>
      </c>
      <c r="B330" s="29" t="s">
        <v>126</v>
      </c>
      <c r="C330" s="36"/>
      <c r="D330" s="36"/>
      <c r="E330" s="36"/>
      <c r="F330" s="32"/>
      <c r="G330" s="33" t="s">
        <v>5</v>
      </c>
      <c r="H330" s="38" t="s">
        <v>127</v>
      </c>
      <c r="I330" s="36"/>
      <c r="J330" s="36"/>
      <c r="K330" s="36"/>
      <c r="L330" s="32"/>
    </row>
    <row r="331" spans="1:12" ht="12.75">
      <c r="A331" s="29" t="s">
        <v>118</v>
      </c>
      <c r="B331" s="29" t="s">
        <v>128</v>
      </c>
      <c r="C331" s="36">
        <v>0</v>
      </c>
      <c r="D331" s="36">
        <v>0</v>
      </c>
      <c r="E331" s="36"/>
      <c r="F331" s="32"/>
      <c r="G331" s="29" t="s">
        <v>85</v>
      </c>
      <c r="H331" s="29" t="s">
        <v>129</v>
      </c>
      <c r="I331" s="36"/>
      <c r="J331" s="36"/>
      <c r="K331" s="36"/>
      <c r="L331" s="32"/>
    </row>
    <row r="332" spans="1:12" ht="12.75">
      <c r="A332" s="29" t="s">
        <v>85</v>
      </c>
      <c r="B332" s="29" t="s">
        <v>129</v>
      </c>
      <c r="C332" s="36">
        <v>0</v>
      </c>
      <c r="D332" s="36">
        <v>0</v>
      </c>
      <c r="E332" s="36"/>
      <c r="F332" s="32"/>
      <c r="G332" s="29" t="s">
        <v>89</v>
      </c>
      <c r="H332" s="29" t="s">
        <v>90</v>
      </c>
      <c r="I332" s="36"/>
      <c r="J332" s="36"/>
      <c r="K332" s="36"/>
      <c r="L332" s="32"/>
    </row>
    <row r="333" spans="1:12" ht="12.75">
      <c r="A333" s="29" t="s">
        <v>89</v>
      </c>
      <c r="B333" s="29" t="s">
        <v>96</v>
      </c>
      <c r="C333" s="36">
        <v>0</v>
      </c>
      <c r="D333" s="36">
        <v>0</v>
      </c>
      <c r="E333" s="36"/>
      <c r="F333" s="32"/>
      <c r="G333" s="33" t="s">
        <v>1</v>
      </c>
      <c r="H333" s="38" t="s">
        <v>92</v>
      </c>
      <c r="I333" s="36"/>
      <c r="J333" s="36"/>
      <c r="K333" s="36"/>
      <c r="L333" s="32"/>
    </row>
    <row r="334" spans="1:12" ht="12.75">
      <c r="A334" s="33"/>
      <c r="B334" s="40" t="s">
        <v>130</v>
      </c>
      <c r="C334" s="41">
        <f>SUM(C331:C333)</f>
        <v>0</v>
      </c>
      <c r="D334" s="41">
        <f>SUM(D331:D333)</f>
        <v>0</v>
      </c>
      <c r="E334" s="41">
        <f>SUM(E331:E333)</f>
        <v>0</v>
      </c>
      <c r="F334" s="42"/>
      <c r="G334" s="33" t="s">
        <v>142</v>
      </c>
      <c r="H334" s="40" t="s">
        <v>131</v>
      </c>
      <c r="I334" s="41">
        <f>SUM(I331:I333)</f>
        <v>0</v>
      </c>
      <c r="J334" s="41">
        <f>SUM(J331:J333)</f>
        <v>0</v>
      </c>
      <c r="K334" s="41"/>
      <c r="L334" s="42"/>
    </row>
    <row r="335" spans="1:12" ht="12.75">
      <c r="A335" s="33"/>
      <c r="B335" s="43" t="s">
        <v>134</v>
      </c>
      <c r="C335" s="44"/>
      <c r="D335" s="44"/>
      <c r="E335" s="46"/>
      <c r="F335" s="32"/>
      <c r="G335" s="33" t="s">
        <v>143</v>
      </c>
      <c r="H335" s="38" t="s">
        <v>135</v>
      </c>
      <c r="I335" s="36">
        <f>C334-I334</f>
        <v>0</v>
      </c>
      <c r="J335" s="36">
        <f>D334-J334</f>
        <v>0</v>
      </c>
      <c r="K335" s="36"/>
      <c r="L335" s="32"/>
    </row>
    <row r="336" spans="1:12" ht="12.75">
      <c r="A336" s="33"/>
      <c r="B336" s="47" t="s">
        <v>136</v>
      </c>
      <c r="C336" s="48">
        <f>SUM(C335+C319)</f>
        <v>2357</v>
      </c>
      <c r="D336" s="48">
        <f>SUM(D335+D319)</f>
        <v>7699</v>
      </c>
      <c r="E336" s="48">
        <f>SUM(E335+E319)</f>
        <v>0</v>
      </c>
      <c r="F336" s="32"/>
      <c r="G336" s="33" t="s">
        <v>144</v>
      </c>
      <c r="H336" s="47" t="s">
        <v>137</v>
      </c>
      <c r="I336" s="35">
        <f>SUM(I319,I335)</f>
        <v>0</v>
      </c>
      <c r="J336" s="35">
        <f>SUM(J319,J335)</f>
        <v>0</v>
      </c>
      <c r="K336" s="36"/>
      <c r="L336" s="32"/>
    </row>
    <row r="337" spans="1:12" ht="12.75">
      <c r="A337" s="33"/>
      <c r="B337" s="40" t="s">
        <v>163</v>
      </c>
      <c r="C337" s="41">
        <f>SUM(C334+C318+C336)</f>
        <v>34485</v>
      </c>
      <c r="D337" s="41">
        <f>SUM(D334+D318+D336)</f>
        <v>36784</v>
      </c>
      <c r="E337" s="41">
        <f>SUM(E334+E318+E336)</f>
        <v>27463</v>
      </c>
      <c r="F337" s="42">
        <f>E337/D337*100</f>
        <v>74.660178338408</v>
      </c>
      <c r="G337" s="33" t="s">
        <v>146</v>
      </c>
      <c r="H337" s="40" t="s">
        <v>163</v>
      </c>
      <c r="I337" s="41">
        <f>SUM(I320,I334,I336)</f>
        <v>34485</v>
      </c>
      <c r="J337" s="41">
        <f>SUM(J320,J334,J336)</f>
        <v>36784</v>
      </c>
      <c r="K337" s="41">
        <f>SUM(K320,K334,K336)</f>
        <v>36310</v>
      </c>
      <c r="L337" s="42">
        <f>K337/J337*100</f>
        <v>98.71139625924314</v>
      </c>
    </row>
    <row r="338" spans="1:12" ht="12.75" customHeight="1">
      <c r="A338" s="19" t="s">
        <v>164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12" ht="12.75">
      <c r="A340" s="20" t="s">
        <v>148</v>
      </c>
      <c r="B340" s="21"/>
      <c r="C340" s="22"/>
      <c r="D340" s="22"/>
      <c r="E340" s="22"/>
      <c r="F340" s="23"/>
      <c r="G340" s="21"/>
      <c r="H340" s="21"/>
      <c r="I340" s="24" t="s">
        <v>43</v>
      </c>
      <c r="J340" s="24"/>
      <c r="K340" s="24"/>
      <c r="L340" s="24"/>
    </row>
    <row r="341" spans="1:12" ht="12.75" customHeight="1">
      <c r="A341" s="25" t="s">
        <v>44</v>
      </c>
      <c r="B341" s="26" t="s">
        <v>45</v>
      </c>
      <c r="C341" s="27" t="s">
        <v>46</v>
      </c>
      <c r="D341" s="27" t="s">
        <v>47</v>
      </c>
      <c r="E341" s="27" t="s">
        <v>48</v>
      </c>
      <c r="F341" s="28" t="s">
        <v>49</v>
      </c>
      <c r="G341" s="25" t="s">
        <v>44</v>
      </c>
      <c r="H341" s="26" t="s">
        <v>50</v>
      </c>
      <c r="I341" s="27" t="s">
        <v>46</v>
      </c>
      <c r="J341" s="27" t="s">
        <v>47</v>
      </c>
      <c r="K341" s="27" t="s">
        <v>48</v>
      </c>
      <c r="L341" s="28" t="s">
        <v>49</v>
      </c>
    </row>
    <row r="342" spans="1:12" ht="12.75" customHeight="1">
      <c r="A342" s="25"/>
      <c r="B342" s="26"/>
      <c r="C342" s="27"/>
      <c r="D342" s="27"/>
      <c r="E342" s="27"/>
      <c r="F342" s="28"/>
      <c r="G342" s="25"/>
      <c r="H342" s="26"/>
      <c r="I342" s="27"/>
      <c r="J342" s="27"/>
      <c r="K342" s="27"/>
      <c r="L342" s="28"/>
    </row>
    <row r="343" spans="1:12" ht="12.75">
      <c r="A343" s="25"/>
      <c r="B343" s="26"/>
      <c r="C343" s="27"/>
      <c r="D343" s="27"/>
      <c r="E343" s="27"/>
      <c r="F343" s="28"/>
      <c r="G343" s="25"/>
      <c r="H343" s="26"/>
      <c r="I343" s="27"/>
      <c r="J343" s="27"/>
      <c r="K343" s="27"/>
      <c r="L343" s="28"/>
    </row>
    <row r="344" spans="1:12" ht="12.75">
      <c r="A344" s="29" t="s">
        <v>51</v>
      </c>
      <c r="B344" s="29" t="s">
        <v>52</v>
      </c>
      <c r="C344" s="30"/>
      <c r="D344" s="30"/>
      <c r="E344" s="30"/>
      <c r="F344" s="31"/>
      <c r="G344" s="29"/>
      <c r="H344" s="29" t="s">
        <v>53</v>
      </c>
      <c r="I344" s="30">
        <f>SUM(I345:I347,I348,I355,I356)</f>
        <v>34523</v>
      </c>
      <c r="J344" s="30">
        <f>SUM(J345:J347,J348,J355,J356)</f>
        <v>28570</v>
      </c>
      <c r="K344" s="30">
        <f>SUM(K345:K347,K348,K355,K356)</f>
        <v>26708</v>
      </c>
      <c r="L344" s="32">
        <f>K344/J344*100</f>
        <v>93.4826741337067</v>
      </c>
    </row>
    <row r="345" spans="1:12" ht="12.75">
      <c r="A345" s="33" t="s">
        <v>1</v>
      </c>
      <c r="B345" s="34" t="s">
        <v>54</v>
      </c>
      <c r="C345" s="35">
        <v>980</v>
      </c>
      <c r="D345" s="35">
        <v>100</v>
      </c>
      <c r="E345" s="35">
        <f>120+2+6+25</f>
        <v>153</v>
      </c>
      <c r="F345" s="32"/>
      <c r="G345" s="29" t="s">
        <v>51</v>
      </c>
      <c r="H345" s="29" t="s">
        <v>55</v>
      </c>
      <c r="I345" s="36">
        <v>8753</v>
      </c>
      <c r="J345" s="36">
        <v>8257</v>
      </c>
      <c r="K345" s="30">
        <v>7773</v>
      </c>
      <c r="L345" s="32">
        <f>K345/J345*100</f>
        <v>94.13830689112268</v>
      </c>
    </row>
    <row r="346" spans="1:12" ht="12.75">
      <c r="A346" s="33" t="s">
        <v>3</v>
      </c>
      <c r="B346" s="34" t="s">
        <v>56</v>
      </c>
      <c r="C346" s="35">
        <v>0</v>
      </c>
      <c r="D346" s="35">
        <f>SUM(D347:D349)</f>
        <v>0</v>
      </c>
      <c r="E346" s="35">
        <f>SUM(E347:E349)</f>
        <v>0</v>
      </c>
      <c r="F346" s="32"/>
      <c r="G346" s="29" t="s">
        <v>57</v>
      </c>
      <c r="H346" s="29" t="s">
        <v>58</v>
      </c>
      <c r="I346" s="36">
        <v>2891</v>
      </c>
      <c r="J346" s="36">
        <v>2949</v>
      </c>
      <c r="K346" s="30">
        <v>2735</v>
      </c>
      <c r="L346" s="32">
        <f>K346/J346*100</f>
        <v>92.7433028145134</v>
      </c>
    </row>
    <row r="347" spans="1:12" ht="12.75">
      <c r="A347" s="37" t="s">
        <v>59</v>
      </c>
      <c r="B347" s="38" t="s">
        <v>60</v>
      </c>
      <c r="C347" s="36">
        <v>0</v>
      </c>
      <c r="D347" s="36">
        <v>0</v>
      </c>
      <c r="E347" s="35">
        <f>SUM(C347:D347)</f>
        <v>0</v>
      </c>
      <c r="F347" s="32"/>
      <c r="G347" s="29" t="s">
        <v>61</v>
      </c>
      <c r="H347" s="29" t="s">
        <v>62</v>
      </c>
      <c r="I347" s="36">
        <v>22879</v>
      </c>
      <c r="J347" s="36">
        <v>17364</v>
      </c>
      <c r="K347" s="30">
        <f>2563+9822+3754+61</f>
        <v>16200</v>
      </c>
      <c r="L347" s="32">
        <f>K347/J347*100</f>
        <v>93.29647546648238</v>
      </c>
    </row>
    <row r="348" spans="1:12" ht="12.75">
      <c r="A348" s="37" t="s">
        <v>63</v>
      </c>
      <c r="B348" s="38" t="s">
        <v>64</v>
      </c>
      <c r="C348" s="36"/>
      <c r="D348" s="36"/>
      <c r="E348" s="35">
        <f>SUM(C348:D348)</f>
        <v>0</v>
      </c>
      <c r="F348" s="32"/>
      <c r="G348" s="29" t="s">
        <v>65</v>
      </c>
      <c r="H348" s="29" t="s">
        <v>66</v>
      </c>
      <c r="I348" s="36"/>
      <c r="J348" s="36"/>
      <c r="K348" s="30">
        <f aca="true" t="shared" si="29" ref="K348:K353">SUM(H348:I348)</f>
        <v>0</v>
      </c>
      <c r="L348" s="32"/>
    </row>
    <row r="349" spans="1:12" ht="12.75">
      <c r="A349" s="37" t="s">
        <v>67</v>
      </c>
      <c r="B349" s="38" t="s">
        <v>68</v>
      </c>
      <c r="C349" s="36"/>
      <c r="D349" s="36"/>
      <c r="E349" s="35"/>
      <c r="F349" s="32"/>
      <c r="G349" s="33" t="s">
        <v>1</v>
      </c>
      <c r="H349" s="38" t="s">
        <v>69</v>
      </c>
      <c r="I349" s="36"/>
      <c r="J349" s="36"/>
      <c r="K349" s="30">
        <f t="shared" si="29"/>
        <v>0</v>
      </c>
      <c r="L349" s="32"/>
    </row>
    <row r="350" spans="1:12" ht="12.75">
      <c r="A350" s="39" t="s">
        <v>70</v>
      </c>
      <c r="B350" s="29" t="s">
        <v>71</v>
      </c>
      <c r="C350" s="36"/>
      <c r="D350" s="36"/>
      <c r="E350" s="35">
        <f>SUM(C350:D350)</f>
        <v>0</v>
      </c>
      <c r="F350" s="32"/>
      <c r="G350" s="33" t="s">
        <v>3</v>
      </c>
      <c r="H350" s="38" t="s">
        <v>72</v>
      </c>
      <c r="I350" s="36"/>
      <c r="J350" s="36"/>
      <c r="K350" s="30">
        <f t="shared" si="29"/>
        <v>0</v>
      </c>
      <c r="L350" s="32"/>
    </row>
    <row r="351" spans="1:12" ht="12.75">
      <c r="A351" s="33" t="s">
        <v>1</v>
      </c>
      <c r="B351" s="34" t="s">
        <v>73</v>
      </c>
      <c r="C351" s="35">
        <f>SUM(C352:C354)</f>
        <v>5923</v>
      </c>
      <c r="D351" s="35">
        <f>SUM(D352:D354)</f>
        <v>6442</v>
      </c>
      <c r="E351" s="35">
        <f>SUM(E352:E354)</f>
        <v>6442</v>
      </c>
      <c r="F351" s="32">
        <f>E351/D351*100</f>
        <v>100</v>
      </c>
      <c r="G351" s="33" t="s">
        <v>5</v>
      </c>
      <c r="H351" s="38" t="s">
        <v>74</v>
      </c>
      <c r="I351" s="36">
        <v>0</v>
      </c>
      <c r="J351" s="36">
        <v>0</v>
      </c>
      <c r="K351" s="30">
        <f t="shared" si="29"/>
        <v>0</v>
      </c>
      <c r="L351" s="32"/>
    </row>
    <row r="352" spans="1:12" ht="12.75">
      <c r="A352" s="33" t="s">
        <v>75</v>
      </c>
      <c r="B352" s="38" t="s">
        <v>76</v>
      </c>
      <c r="C352" s="36">
        <v>5923</v>
      </c>
      <c r="D352" s="36">
        <v>5923</v>
      </c>
      <c r="E352" s="35">
        <v>5923</v>
      </c>
      <c r="F352" s="32">
        <f>E352/D352*100</f>
        <v>100</v>
      </c>
      <c r="G352" s="33" t="s">
        <v>7</v>
      </c>
      <c r="H352" s="38" t="s">
        <v>77</v>
      </c>
      <c r="I352" s="36">
        <v>0</v>
      </c>
      <c r="J352" s="36">
        <v>0</v>
      </c>
      <c r="K352" s="30">
        <f t="shared" si="29"/>
        <v>0</v>
      </c>
      <c r="L352" s="32"/>
    </row>
    <row r="353" spans="1:12" ht="12.75">
      <c r="A353" s="33" t="s">
        <v>78</v>
      </c>
      <c r="B353" s="38" t="s">
        <v>155</v>
      </c>
      <c r="C353" s="36">
        <v>0</v>
      </c>
      <c r="D353" s="36">
        <v>519</v>
      </c>
      <c r="E353" s="36">
        <v>519</v>
      </c>
      <c r="F353" s="32">
        <f>E353/D353*100</f>
        <v>100</v>
      </c>
      <c r="G353" s="33" t="s">
        <v>11</v>
      </c>
      <c r="H353" s="38" t="s">
        <v>80</v>
      </c>
      <c r="I353" s="36">
        <v>0</v>
      </c>
      <c r="J353" s="36">
        <v>0</v>
      </c>
      <c r="K353" s="30">
        <f t="shared" si="29"/>
        <v>0</v>
      </c>
      <c r="L353" s="32"/>
    </row>
    <row r="354" spans="1:12" ht="12.75">
      <c r="A354" s="33" t="s">
        <v>81</v>
      </c>
      <c r="B354" s="38" t="s">
        <v>82</v>
      </c>
      <c r="C354" s="36">
        <v>0</v>
      </c>
      <c r="D354" s="36"/>
      <c r="E354" s="36"/>
      <c r="F354" s="32"/>
      <c r="G354" s="33"/>
      <c r="H354" s="38"/>
      <c r="I354" s="36"/>
      <c r="J354" s="36"/>
      <c r="K354" s="36"/>
      <c r="L354" s="32"/>
    </row>
    <row r="355" spans="1:12" ht="12.75">
      <c r="A355" s="29" t="s">
        <v>83</v>
      </c>
      <c r="B355" s="29" t="s">
        <v>84</v>
      </c>
      <c r="C355" s="36"/>
      <c r="D355" s="36">
        <f>200+400</f>
        <v>600</v>
      </c>
      <c r="E355" s="36">
        <f>410+6738+247+100</f>
        <v>7495</v>
      </c>
      <c r="F355" s="32">
        <f>E355/D355*100</f>
        <v>1249.1666666666667</v>
      </c>
      <c r="G355" s="29" t="s">
        <v>85</v>
      </c>
      <c r="H355" s="29" t="s">
        <v>86</v>
      </c>
      <c r="I355" s="36"/>
      <c r="J355" s="36"/>
      <c r="K355" s="36"/>
      <c r="L355" s="32"/>
    </row>
    <row r="356" spans="1:12" ht="12.75">
      <c r="A356" s="29" t="s">
        <v>87</v>
      </c>
      <c r="B356" s="29" t="s">
        <v>88</v>
      </c>
      <c r="C356" s="36"/>
      <c r="D356" s="36"/>
      <c r="E356" s="36">
        <v>420</v>
      </c>
      <c r="F356" s="32"/>
      <c r="G356" s="29" t="s">
        <v>89</v>
      </c>
      <c r="H356" s="29" t="s">
        <v>90</v>
      </c>
      <c r="I356" s="36"/>
      <c r="J356" s="36"/>
      <c r="K356" s="36"/>
      <c r="L356" s="32"/>
    </row>
    <row r="357" spans="1:12" ht="12.75">
      <c r="A357" s="33"/>
      <c r="B357" s="38" t="s">
        <v>156</v>
      </c>
      <c r="C357" s="36"/>
      <c r="D357" s="36"/>
      <c r="E357" s="36"/>
      <c r="F357" s="32"/>
      <c r="G357" s="33" t="s">
        <v>1</v>
      </c>
      <c r="H357" s="38" t="s">
        <v>92</v>
      </c>
      <c r="I357" s="36"/>
      <c r="J357" s="36"/>
      <c r="K357" s="36"/>
      <c r="L357" s="32"/>
    </row>
    <row r="358" spans="1:12" ht="12.75">
      <c r="A358" s="29" t="s">
        <v>93</v>
      </c>
      <c r="B358" s="29" t="s">
        <v>94</v>
      </c>
      <c r="C358" s="35">
        <v>0</v>
      </c>
      <c r="D358" s="35">
        <v>0</v>
      </c>
      <c r="E358" s="35"/>
      <c r="F358" s="32"/>
      <c r="G358" s="33" t="s">
        <v>3</v>
      </c>
      <c r="H358" s="38" t="s">
        <v>95</v>
      </c>
      <c r="I358" s="36"/>
      <c r="J358" s="36"/>
      <c r="K358" s="36"/>
      <c r="L358" s="32"/>
    </row>
    <row r="359" spans="1:12" ht="12.75">
      <c r="A359" s="29" t="s">
        <v>89</v>
      </c>
      <c r="B359" s="29" t="s">
        <v>96</v>
      </c>
      <c r="C359" s="36"/>
      <c r="D359" s="36"/>
      <c r="E359" s="36"/>
      <c r="F359" s="32"/>
      <c r="G359" s="33"/>
      <c r="H359" s="38"/>
      <c r="I359" s="36"/>
      <c r="J359" s="36"/>
      <c r="K359" s="36"/>
      <c r="L359" s="32"/>
    </row>
    <row r="360" spans="1:12" ht="12.75">
      <c r="A360" s="33"/>
      <c r="B360" s="40" t="s">
        <v>97</v>
      </c>
      <c r="C360" s="41">
        <f>SUM(C345+C346+C351+C355+C356+C358+C359)</f>
        <v>6903</v>
      </c>
      <c r="D360" s="41">
        <f>SUM(D345+D346+D351+D355+D356+D358+D359)</f>
        <v>7142</v>
      </c>
      <c r="E360" s="41">
        <f>SUM(E345+E346+E351+E355+E356+E358+E359)</f>
        <v>14510</v>
      </c>
      <c r="F360" s="42">
        <f>E360/D360*100</f>
        <v>203.16437972556707</v>
      </c>
      <c r="G360" s="33"/>
      <c r="H360" s="40" t="s">
        <v>98</v>
      </c>
      <c r="I360" s="41">
        <f>SUM(I345:I347)</f>
        <v>34523</v>
      </c>
      <c r="J360" s="41">
        <f>SUM(J345:J347)</f>
        <v>28570</v>
      </c>
      <c r="K360" s="41">
        <f>SUM(K345:K347)</f>
        <v>26708</v>
      </c>
      <c r="L360" s="42">
        <f>K360/J360*100</f>
        <v>93.4826741337067</v>
      </c>
    </row>
    <row r="361" spans="1:12" ht="12.75">
      <c r="A361" s="33"/>
      <c r="B361" s="43" t="s">
        <v>99</v>
      </c>
      <c r="C361" s="44">
        <f>I362-C360</f>
        <v>27620</v>
      </c>
      <c r="D361" s="44">
        <f>J362-D360</f>
        <v>21428</v>
      </c>
      <c r="E361" s="44"/>
      <c r="F361" s="32"/>
      <c r="G361" s="33"/>
      <c r="H361" s="38" t="s">
        <v>100</v>
      </c>
      <c r="I361" s="44"/>
      <c r="J361" s="44"/>
      <c r="K361" s="36">
        <v>5</v>
      </c>
      <c r="L361" s="32"/>
    </row>
    <row r="362" spans="1:12" ht="12.75">
      <c r="A362" s="33"/>
      <c r="B362" s="29" t="s">
        <v>101</v>
      </c>
      <c r="C362" s="36"/>
      <c r="D362" s="36"/>
      <c r="E362" s="36"/>
      <c r="F362" s="32"/>
      <c r="G362" s="33"/>
      <c r="H362" s="40" t="s">
        <v>102</v>
      </c>
      <c r="I362" s="41">
        <f>SUM(I360:I361)</f>
        <v>34523</v>
      </c>
      <c r="J362" s="41">
        <f>SUM(J360:J361)</f>
        <v>28570</v>
      </c>
      <c r="K362" s="41">
        <f>SUM(K360:K361)</f>
        <v>26713</v>
      </c>
      <c r="L362" s="42">
        <f>K362/J362*100</f>
        <v>93.50017500875045</v>
      </c>
    </row>
    <row r="363" spans="1:12" ht="12.75">
      <c r="A363" s="29" t="s">
        <v>103</v>
      </c>
      <c r="B363" s="29" t="s">
        <v>104</v>
      </c>
      <c r="C363" s="36"/>
      <c r="D363" s="36"/>
      <c r="E363" s="36"/>
      <c r="F363" s="32"/>
      <c r="G363" s="33"/>
      <c r="H363" s="43" t="s">
        <v>105</v>
      </c>
      <c r="I363" s="36"/>
      <c r="J363" s="36"/>
      <c r="K363" s="36"/>
      <c r="L363" s="32"/>
    </row>
    <row r="364" spans="1:12" ht="12.75">
      <c r="A364" s="29" t="s">
        <v>106</v>
      </c>
      <c r="B364" s="29" t="s">
        <v>107</v>
      </c>
      <c r="C364" s="36"/>
      <c r="D364" s="36"/>
      <c r="E364" s="36"/>
      <c r="F364" s="32"/>
      <c r="G364" s="33"/>
      <c r="H364" s="29" t="s">
        <v>108</v>
      </c>
      <c r="I364" s="36"/>
      <c r="J364" s="36"/>
      <c r="K364" s="36"/>
      <c r="L364" s="32"/>
    </row>
    <row r="365" spans="1:12" ht="12.75">
      <c r="A365" s="29" t="s">
        <v>109</v>
      </c>
      <c r="B365" s="29" t="s">
        <v>110</v>
      </c>
      <c r="C365" s="36"/>
      <c r="D365" s="36"/>
      <c r="E365" s="36"/>
      <c r="F365" s="32"/>
      <c r="G365" s="29" t="s">
        <v>61</v>
      </c>
      <c r="H365" s="29" t="s">
        <v>111</v>
      </c>
      <c r="I365" s="36"/>
      <c r="J365" s="36"/>
      <c r="K365" s="36"/>
      <c r="L365" s="32"/>
    </row>
    <row r="366" spans="1:12" ht="12.75">
      <c r="A366" s="29" t="s">
        <v>112</v>
      </c>
      <c r="B366" s="29" t="s">
        <v>113</v>
      </c>
      <c r="C366" s="36"/>
      <c r="D366" s="36"/>
      <c r="E366" s="36"/>
      <c r="F366" s="32"/>
      <c r="G366" s="29" t="s">
        <v>65</v>
      </c>
      <c r="H366" s="29" t="s">
        <v>66</v>
      </c>
      <c r="I366" s="36"/>
      <c r="J366" s="36"/>
      <c r="K366" s="36"/>
      <c r="L366" s="32"/>
    </row>
    <row r="367" spans="1:12" ht="12.75">
      <c r="A367" s="29" t="s">
        <v>61</v>
      </c>
      <c r="B367" s="29" t="s">
        <v>114</v>
      </c>
      <c r="C367" s="36"/>
      <c r="D367" s="36">
        <f>SUM(D368:D370)</f>
        <v>880</v>
      </c>
      <c r="E367" s="36">
        <f>SUM(E368:E370)</f>
        <v>671</v>
      </c>
      <c r="F367" s="32"/>
      <c r="G367" s="33" t="s">
        <v>1</v>
      </c>
      <c r="H367" s="38" t="s">
        <v>69</v>
      </c>
      <c r="I367" s="36"/>
      <c r="J367" s="36"/>
      <c r="K367" s="36"/>
      <c r="L367" s="32"/>
    </row>
    <row r="368" spans="1:12" ht="12.75">
      <c r="A368" s="33" t="s">
        <v>1</v>
      </c>
      <c r="B368" s="45" t="s">
        <v>115</v>
      </c>
      <c r="C368" s="36"/>
      <c r="D368" s="36"/>
      <c r="E368" s="36"/>
      <c r="F368" s="32"/>
      <c r="G368" s="33" t="s">
        <v>3</v>
      </c>
      <c r="H368" s="38" t="s">
        <v>116</v>
      </c>
      <c r="I368" s="36"/>
      <c r="J368" s="36"/>
      <c r="K368" s="36"/>
      <c r="L368" s="32"/>
    </row>
    <row r="369" spans="1:12" ht="12.75">
      <c r="A369" s="33" t="s">
        <v>3</v>
      </c>
      <c r="B369" s="45" t="s">
        <v>117</v>
      </c>
      <c r="C369" s="36"/>
      <c r="D369" s="36">
        <v>880</v>
      </c>
      <c r="E369" s="54">
        <v>671</v>
      </c>
      <c r="F369" s="32"/>
      <c r="G369" s="29" t="s">
        <v>118</v>
      </c>
      <c r="H369" s="29" t="s">
        <v>119</v>
      </c>
      <c r="I369" s="36"/>
      <c r="J369" s="36"/>
      <c r="K369" s="36"/>
      <c r="L369" s="32"/>
    </row>
    <row r="370" spans="1:12" ht="12.75">
      <c r="A370" s="33" t="s">
        <v>5</v>
      </c>
      <c r="B370" s="45" t="s">
        <v>120</v>
      </c>
      <c r="C370" s="36"/>
      <c r="D370" s="36"/>
      <c r="E370" s="36"/>
      <c r="F370" s="32"/>
      <c r="G370" s="33" t="s">
        <v>1</v>
      </c>
      <c r="H370" s="45" t="s">
        <v>121</v>
      </c>
      <c r="I370" s="36"/>
      <c r="J370" s="36"/>
      <c r="K370" s="36"/>
      <c r="L370" s="32"/>
    </row>
    <row r="371" spans="1:12" ht="12.75">
      <c r="A371" s="29" t="s">
        <v>122</v>
      </c>
      <c r="B371" s="29" t="s">
        <v>123</v>
      </c>
      <c r="C371" s="36"/>
      <c r="D371" s="36"/>
      <c r="E371" s="36"/>
      <c r="F371" s="32"/>
      <c r="G371" s="33" t="s">
        <v>3</v>
      </c>
      <c r="H371" s="45" t="s">
        <v>124</v>
      </c>
      <c r="I371" s="36"/>
      <c r="J371" s="36"/>
      <c r="K371" s="36"/>
      <c r="L371" s="32"/>
    </row>
    <row r="372" spans="1:12" ht="12.75">
      <c r="A372" s="29" t="s">
        <v>125</v>
      </c>
      <c r="B372" s="29" t="s">
        <v>126</v>
      </c>
      <c r="C372" s="36"/>
      <c r="D372" s="36"/>
      <c r="E372" s="36"/>
      <c r="F372" s="32"/>
      <c r="G372" s="33" t="s">
        <v>5</v>
      </c>
      <c r="H372" s="38" t="s">
        <v>127</v>
      </c>
      <c r="I372" s="36"/>
      <c r="J372" s="36"/>
      <c r="K372" s="36"/>
      <c r="L372" s="32"/>
    </row>
    <row r="373" spans="1:12" ht="12.75">
      <c r="A373" s="29" t="s">
        <v>118</v>
      </c>
      <c r="B373" s="29" t="s">
        <v>128</v>
      </c>
      <c r="C373" s="36">
        <v>0</v>
      </c>
      <c r="D373" s="36">
        <v>0</v>
      </c>
      <c r="E373" s="36"/>
      <c r="F373" s="32"/>
      <c r="G373" s="29" t="s">
        <v>85</v>
      </c>
      <c r="H373" s="29" t="s">
        <v>129</v>
      </c>
      <c r="I373" s="36"/>
      <c r="J373" s="36"/>
      <c r="K373" s="36"/>
      <c r="L373" s="32"/>
    </row>
    <row r="374" spans="1:12" ht="12.75">
      <c r="A374" s="29" t="s">
        <v>85</v>
      </c>
      <c r="B374" s="29" t="s">
        <v>129</v>
      </c>
      <c r="C374" s="36">
        <v>0</v>
      </c>
      <c r="D374" s="36">
        <v>0</v>
      </c>
      <c r="E374" s="36"/>
      <c r="F374" s="32"/>
      <c r="G374" s="29" t="s">
        <v>89</v>
      </c>
      <c r="H374" s="29" t="s">
        <v>90</v>
      </c>
      <c r="I374" s="36">
        <f>SUM(I375)</f>
        <v>0</v>
      </c>
      <c r="J374" s="36">
        <f>SUM(J375)</f>
        <v>880</v>
      </c>
      <c r="K374" s="36">
        <f>SUM(K375)</f>
        <v>0</v>
      </c>
      <c r="L374" s="32"/>
    </row>
    <row r="375" spans="1:12" ht="12.75">
      <c r="A375" s="29" t="s">
        <v>89</v>
      </c>
      <c r="B375" s="29" t="s">
        <v>96</v>
      </c>
      <c r="C375" s="36">
        <v>0</v>
      </c>
      <c r="D375" s="36">
        <v>0</v>
      </c>
      <c r="E375" s="36"/>
      <c r="F375" s="32"/>
      <c r="G375" s="33" t="s">
        <v>1</v>
      </c>
      <c r="H375" s="38" t="s">
        <v>92</v>
      </c>
      <c r="I375" s="36"/>
      <c r="J375" s="36">
        <v>880</v>
      </c>
      <c r="K375" s="36"/>
      <c r="L375" s="32"/>
    </row>
    <row r="376" spans="1:12" ht="12.75">
      <c r="A376" s="33"/>
      <c r="B376" s="40" t="s">
        <v>130</v>
      </c>
      <c r="C376" s="41">
        <f>SUM(C362:C367,C371:C375)</f>
        <v>0</v>
      </c>
      <c r="D376" s="41">
        <f>SUM(D362:D367,D371:D375)</f>
        <v>880</v>
      </c>
      <c r="E376" s="41">
        <f>SUM(E362:E367,E371:E375)</f>
        <v>671</v>
      </c>
      <c r="F376" s="42"/>
      <c r="G376" s="33" t="s">
        <v>142</v>
      </c>
      <c r="H376" s="40" t="s">
        <v>131</v>
      </c>
      <c r="I376" s="41">
        <f>SUM(I364:I366,I369,I373,I374)</f>
        <v>0</v>
      </c>
      <c r="J376" s="41">
        <f>SUM(J364:J366,J369,J373,J374)</f>
        <v>880</v>
      </c>
      <c r="K376" s="41">
        <f>SUM(K364:K366,K369,K373,K374)</f>
        <v>0</v>
      </c>
      <c r="L376" s="42"/>
    </row>
    <row r="377" spans="1:12" ht="12.75">
      <c r="A377" s="33"/>
      <c r="B377" s="43" t="s">
        <v>134</v>
      </c>
      <c r="C377" s="44"/>
      <c r="D377" s="44"/>
      <c r="E377" s="57"/>
      <c r="F377" s="32"/>
      <c r="G377" s="33" t="s">
        <v>143</v>
      </c>
      <c r="H377" s="38" t="s">
        <v>135</v>
      </c>
      <c r="I377" s="36">
        <f>C376-I376</f>
        <v>0</v>
      </c>
      <c r="J377" s="36">
        <f>D376-J376</f>
        <v>0</v>
      </c>
      <c r="K377" s="36">
        <f>E376-K376</f>
        <v>671</v>
      </c>
      <c r="L377" s="32"/>
    </row>
    <row r="378" spans="1:12" ht="12.75">
      <c r="A378" s="33"/>
      <c r="B378" s="47" t="s">
        <v>136</v>
      </c>
      <c r="C378" s="48">
        <f>SUM(C377+C361)</f>
        <v>27620</v>
      </c>
      <c r="D378" s="48">
        <f>SUM(D377+D361)</f>
        <v>21428</v>
      </c>
      <c r="E378" s="48">
        <f>SUM(E377+E361)</f>
        <v>0</v>
      </c>
      <c r="F378" s="32"/>
      <c r="G378" s="33" t="s">
        <v>144</v>
      </c>
      <c r="H378" s="47" t="s">
        <v>137</v>
      </c>
      <c r="I378" s="35"/>
      <c r="J378" s="36">
        <f>SUM(J361,J377)</f>
        <v>0</v>
      </c>
      <c r="K378" s="36">
        <f>SUM(K363,K377)</f>
        <v>671</v>
      </c>
      <c r="L378" s="32"/>
    </row>
    <row r="379" spans="1:12" ht="12.75">
      <c r="A379" s="33"/>
      <c r="B379" s="40" t="s">
        <v>165</v>
      </c>
      <c r="C379" s="41">
        <f>SUM(C376+C360+C378)</f>
        <v>34523</v>
      </c>
      <c r="D379" s="41">
        <f>SUM(D376+D360+D378)</f>
        <v>29450</v>
      </c>
      <c r="E379" s="41">
        <f>SUM(E376+E360+E378)</f>
        <v>15181</v>
      </c>
      <c r="F379" s="42">
        <f>E379/D379*100</f>
        <v>51.54838709677419</v>
      </c>
      <c r="G379" s="33" t="s">
        <v>146</v>
      </c>
      <c r="H379" s="40" t="s">
        <v>165</v>
      </c>
      <c r="I379" s="41">
        <f>SUM(I362,I376,I378)</f>
        <v>34523</v>
      </c>
      <c r="J379" s="41">
        <f>SUM(J362,J376,J378)</f>
        <v>29450</v>
      </c>
      <c r="K379" s="41">
        <f>SUM(K362,K376,K378)</f>
        <v>27384</v>
      </c>
      <c r="L379" s="42">
        <f>K379/J379*100</f>
        <v>92.98471986417657</v>
      </c>
    </row>
    <row r="380" spans="1:12" ht="12.75" customHeight="1">
      <c r="A380" s="19" t="s">
        <v>166</v>
      </c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1:12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1:12" ht="12.75">
      <c r="A382" s="20" t="s">
        <v>148</v>
      </c>
      <c r="B382" s="21"/>
      <c r="C382" s="22"/>
      <c r="D382" s="22"/>
      <c r="E382" s="22"/>
      <c r="F382" s="23"/>
      <c r="G382" s="21"/>
      <c r="H382" s="21"/>
      <c r="I382" s="24" t="s">
        <v>43</v>
      </c>
      <c r="J382" s="24"/>
      <c r="K382" s="24"/>
      <c r="L382" s="24"/>
    </row>
    <row r="383" spans="1:12" ht="12.75" customHeight="1">
      <c r="A383" s="25" t="s">
        <v>44</v>
      </c>
      <c r="B383" s="26" t="s">
        <v>45</v>
      </c>
      <c r="C383" s="27" t="s">
        <v>46</v>
      </c>
      <c r="D383" s="27" t="s">
        <v>47</v>
      </c>
      <c r="E383" s="27" t="s">
        <v>48</v>
      </c>
      <c r="F383" s="28" t="s">
        <v>49</v>
      </c>
      <c r="G383" s="25" t="s">
        <v>44</v>
      </c>
      <c r="H383" s="26" t="s">
        <v>50</v>
      </c>
      <c r="I383" s="27" t="s">
        <v>46</v>
      </c>
      <c r="J383" s="27" t="s">
        <v>47</v>
      </c>
      <c r="K383" s="27" t="s">
        <v>48</v>
      </c>
      <c r="L383" s="28" t="s">
        <v>49</v>
      </c>
    </row>
    <row r="384" spans="1:12" ht="12.75" customHeight="1">
      <c r="A384" s="25"/>
      <c r="B384" s="26"/>
      <c r="C384" s="27"/>
      <c r="D384" s="27"/>
      <c r="E384" s="27"/>
      <c r="F384" s="28"/>
      <c r="G384" s="25"/>
      <c r="H384" s="26"/>
      <c r="I384" s="27"/>
      <c r="J384" s="27"/>
      <c r="K384" s="27"/>
      <c r="L384" s="28"/>
    </row>
    <row r="385" spans="1:12" ht="12.75">
      <c r="A385" s="25"/>
      <c r="B385" s="26"/>
      <c r="C385" s="27"/>
      <c r="D385" s="27"/>
      <c r="E385" s="27"/>
      <c r="F385" s="28"/>
      <c r="G385" s="25"/>
      <c r="H385" s="26"/>
      <c r="I385" s="27"/>
      <c r="J385" s="27"/>
      <c r="K385" s="27"/>
      <c r="L385" s="28"/>
    </row>
    <row r="386" spans="1:12" ht="12.75">
      <c r="A386" s="29" t="s">
        <v>51</v>
      </c>
      <c r="B386" s="29" t="s">
        <v>52</v>
      </c>
      <c r="C386" s="30"/>
      <c r="D386" s="30"/>
      <c r="E386" s="30"/>
      <c r="F386" s="31"/>
      <c r="G386" s="29"/>
      <c r="H386" s="29" t="s">
        <v>53</v>
      </c>
      <c r="I386" s="30">
        <f>SUM(I387:I389,I390,I397,I398)</f>
        <v>72488</v>
      </c>
      <c r="J386" s="30">
        <f>SUM(J387:J389,J390,J397,J398)</f>
        <v>70688</v>
      </c>
      <c r="K386" s="30">
        <f>SUM(K387:K389,K390,K397,K398)</f>
        <v>69964</v>
      </c>
      <c r="L386" s="32">
        <f>K386/J386*100</f>
        <v>98.97578089633319</v>
      </c>
    </row>
    <row r="387" spans="1:12" ht="12.75">
      <c r="A387" s="33" t="s">
        <v>1</v>
      </c>
      <c r="B387" s="34" t="s">
        <v>54</v>
      </c>
      <c r="C387" s="35">
        <v>0</v>
      </c>
      <c r="D387" s="35">
        <v>0</v>
      </c>
      <c r="E387" s="35"/>
      <c r="F387" s="32"/>
      <c r="G387" s="29" t="s">
        <v>51</v>
      </c>
      <c r="H387" s="29" t="s">
        <v>55</v>
      </c>
      <c r="I387" s="36">
        <f>17226-1235</f>
        <v>15991</v>
      </c>
      <c r="J387" s="36">
        <v>15991</v>
      </c>
      <c r="K387" s="30">
        <v>17252</v>
      </c>
      <c r="L387" s="32">
        <f>K387/J387*100</f>
        <v>107.88568569820525</v>
      </c>
    </row>
    <row r="388" spans="1:12" ht="12.75">
      <c r="A388" s="33" t="s">
        <v>3</v>
      </c>
      <c r="B388" s="34" t="s">
        <v>56</v>
      </c>
      <c r="C388" s="35">
        <v>0</v>
      </c>
      <c r="D388" s="35">
        <v>0</v>
      </c>
      <c r="E388" s="35"/>
      <c r="F388" s="32"/>
      <c r="G388" s="29" t="s">
        <v>57</v>
      </c>
      <c r="H388" s="29" t="s">
        <v>58</v>
      </c>
      <c r="I388" s="36">
        <v>5265</v>
      </c>
      <c r="J388" s="36">
        <v>5265</v>
      </c>
      <c r="K388" s="30">
        <v>5240</v>
      </c>
      <c r="L388" s="32">
        <f>K388/J388*100</f>
        <v>99.52516619183285</v>
      </c>
    </row>
    <row r="389" spans="1:12" ht="12.75">
      <c r="A389" s="37" t="s">
        <v>59</v>
      </c>
      <c r="B389" s="38" t="s">
        <v>60</v>
      </c>
      <c r="C389" s="36">
        <v>0</v>
      </c>
      <c r="D389" s="36">
        <v>0</v>
      </c>
      <c r="E389" s="36"/>
      <c r="F389" s="58"/>
      <c r="G389" s="29" t="s">
        <v>61</v>
      </c>
      <c r="H389" s="29" t="s">
        <v>62</v>
      </c>
      <c r="I389" s="36">
        <v>51232</v>
      </c>
      <c r="J389" s="36">
        <v>49432</v>
      </c>
      <c r="K389" s="30">
        <f>37416+1949+8065+42</f>
        <v>47472</v>
      </c>
      <c r="L389" s="32">
        <f>K389/J389*100</f>
        <v>96.03495711280142</v>
      </c>
    </row>
    <row r="390" spans="1:12" ht="12.75">
      <c r="A390" s="37" t="s">
        <v>63</v>
      </c>
      <c r="B390" s="38" t="s">
        <v>64</v>
      </c>
      <c r="C390" s="36"/>
      <c r="D390" s="36"/>
      <c r="E390" s="36"/>
      <c r="F390" s="58"/>
      <c r="G390" s="29" t="s">
        <v>65</v>
      </c>
      <c r="H390" s="29" t="s">
        <v>66</v>
      </c>
      <c r="I390" s="36"/>
      <c r="J390" s="36"/>
      <c r="K390" s="30">
        <f aca="true" t="shared" si="30" ref="K390:K396">SUM(H390:I390)</f>
        <v>0</v>
      </c>
      <c r="L390" s="32"/>
    </row>
    <row r="391" spans="1:12" ht="12.75">
      <c r="A391" s="37" t="s">
        <v>67</v>
      </c>
      <c r="B391" s="38" t="s">
        <v>68</v>
      </c>
      <c r="C391" s="36"/>
      <c r="D391" s="36"/>
      <c r="E391" s="36"/>
      <c r="F391" s="58"/>
      <c r="G391" s="33" t="s">
        <v>1</v>
      </c>
      <c r="H391" s="38" t="s">
        <v>69</v>
      </c>
      <c r="I391" s="36"/>
      <c r="J391" s="36"/>
      <c r="K391" s="30">
        <f t="shared" si="30"/>
        <v>0</v>
      </c>
      <c r="L391" s="32"/>
    </row>
    <row r="392" spans="1:12" ht="12.75">
      <c r="A392" s="39" t="s">
        <v>70</v>
      </c>
      <c r="B392" s="29" t="s">
        <v>71</v>
      </c>
      <c r="C392" s="36"/>
      <c r="D392" s="36"/>
      <c r="E392" s="36"/>
      <c r="F392" s="58"/>
      <c r="G392" s="33" t="s">
        <v>3</v>
      </c>
      <c r="H392" s="38" t="s">
        <v>72</v>
      </c>
      <c r="I392" s="36"/>
      <c r="J392" s="36"/>
      <c r="K392" s="30">
        <f t="shared" si="30"/>
        <v>0</v>
      </c>
      <c r="L392" s="32"/>
    </row>
    <row r="393" spans="1:12" ht="12.75">
      <c r="A393" s="33" t="s">
        <v>1</v>
      </c>
      <c r="B393" s="34" t="s">
        <v>73</v>
      </c>
      <c r="C393" s="35">
        <v>0</v>
      </c>
      <c r="D393" s="35">
        <v>0</v>
      </c>
      <c r="E393" s="35"/>
      <c r="F393" s="32"/>
      <c r="G393" s="33" t="s">
        <v>5</v>
      </c>
      <c r="H393" s="38" t="s">
        <v>74</v>
      </c>
      <c r="I393" s="36">
        <v>0</v>
      </c>
      <c r="J393" s="36">
        <v>0</v>
      </c>
      <c r="K393" s="30">
        <f t="shared" si="30"/>
        <v>0</v>
      </c>
      <c r="L393" s="32"/>
    </row>
    <row r="394" spans="1:12" ht="12.75">
      <c r="A394" s="33" t="s">
        <v>75</v>
      </c>
      <c r="B394" s="38" t="s">
        <v>76</v>
      </c>
      <c r="C394" s="36">
        <v>0</v>
      </c>
      <c r="D394" s="36">
        <v>0</v>
      </c>
      <c r="E394" s="36"/>
      <c r="F394" s="58"/>
      <c r="G394" s="33" t="s">
        <v>7</v>
      </c>
      <c r="H394" s="38" t="s">
        <v>77</v>
      </c>
      <c r="I394" s="36">
        <v>0</v>
      </c>
      <c r="J394" s="36">
        <v>0</v>
      </c>
      <c r="K394" s="30">
        <f t="shared" si="30"/>
        <v>0</v>
      </c>
      <c r="L394" s="32"/>
    </row>
    <row r="395" spans="1:12" ht="12.75">
      <c r="A395" s="33" t="s">
        <v>78</v>
      </c>
      <c r="B395" s="38" t="s">
        <v>155</v>
      </c>
      <c r="C395" s="36">
        <v>0</v>
      </c>
      <c r="D395" s="36">
        <v>0</v>
      </c>
      <c r="E395" s="36"/>
      <c r="F395" s="58"/>
      <c r="G395" s="33" t="s">
        <v>11</v>
      </c>
      <c r="H395" s="38" t="s">
        <v>80</v>
      </c>
      <c r="I395" s="36">
        <v>0</v>
      </c>
      <c r="J395" s="36">
        <v>0</v>
      </c>
      <c r="K395" s="30">
        <f t="shared" si="30"/>
        <v>0</v>
      </c>
      <c r="L395" s="32"/>
    </row>
    <row r="396" spans="1:12" ht="12.75">
      <c r="A396" s="33" t="s">
        <v>81</v>
      </c>
      <c r="B396" s="38" t="s">
        <v>82</v>
      </c>
      <c r="C396" s="36">
        <v>0</v>
      </c>
      <c r="D396" s="36">
        <v>0</v>
      </c>
      <c r="E396" s="36"/>
      <c r="F396" s="58"/>
      <c r="G396" s="33"/>
      <c r="H396" s="38"/>
      <c r="I396" s="36"/>
      <c r="J396" s="36"/>
      <c r="K396" s="30">
        <f t="shared" si="30"/>
        <v>0</v>
      </c>
      <c r="L396" s="32"/>
    </row>
    <row r="397" spans="1:12" ht="12.75">
      <c r="A397" s="29" t="s">
        <v>83</v>
      </c>
      <c r="B397" s="29" t="s">
        <v>84</v>
      </c>
      <c r="C397" s="36"/>
      <c r="D397" s="36"/>
      <c r="E397" s="36"/>
      <c r="F397" s="58"/>
      <c r="G397" s="29" t="s">
        <v>85</v>
      </c>
      <c r="H397" s="29" t="s">
        <v>86</v>
      </c>
      <c r="I397" s="36"/>
      <c r="J397" s="36"/>
      <c r="K397" s="36"/>
      <c r="L397" s="32"/>
    </row>
    <row r="398" spans="1:12" ht="12.75">
      <c r="A398" s="29" t="s">
        <v>87</v>
      </c>
      <c r="B398" s="29" t="s">
        <v>88</v>
      </c>
      <c r="C398" s="36"/>
      <c r="D398" s="36"/>
      <c r="E398" s="36"/>
      <c r="F398" s="58"/>
      <c r="G398" s="29" t="s">
        <v>89</v>
      </c>
      <c r="H398" s="29" t="s">
        <v>90</v>
      </c>
      <c r="I398" s="36"/>
      <c r="J398" s="36"/>
      <c r="K398" s="36"/>
      <c r="L398" s="32"/>
    </row>
    <row r="399" spans="1:12" ht="12.75">
      <c r="A399" s="33"/>
      <c r="B399" s="38" t="s">
        <v>156</v>
      </c>
      <c r="C399" s="36"/>
      <c r="D399" s="36"/>
      <c r="E399" s="36"/>
      <c r="F399" s="58"/>
      <c r="G399" s="33" t="s">
        <v>1</v>
      </c>
      <c r="H399" s="38" t="s">
        <v>92</v>
      </c>
      <c r="I399" s="36"/>
      <c r="J399" s="36"/>
      <c r="K399" s="36"/>
      <c r="L399" s="32"/>
    </row>
    <row r="400" spans="1:12" ht="12.75">
      <c r="A400" s="29" t="s">
        <v>93</v>
      </c>
      <c r="B400" s="29" t="s">
        <v>94</v>
      </c>
      <c r="C400" s="35">
        <v>0</v>
      </c>
      <c r="D400" s="35">
        <v>0</v>
      </c>
      <c r="E400" s="35"/>
      <c r="F400" s="32"/>
      <c r="G400" s="33" t="s">
        <v>3</v>
      </c>
      <c r="H400" s="38" t="s">
        <v>95</v>
      </c>
      <c r="I400" s="36"/>
      <c r="J400" s="36"/>
      <c r="K400" s="36"/>
      <c r="L400" s="32"/>
    </row>
    <row r="401" spans="1:12" ht="12.75">
      <c r="A401" s="29" t="s">
        <v>89</v>
      </c>
      <c r="B401" s="29" t="s">
        <v>96</v>
      </c>
      <c r="C401" s="36">
        <v>0</v>
      </c>
      <c r="D401" s="36">
        <v>0</v>
      </c>
      <c r="E401" s="36"/>
      <c r="F401" s="58"/>
      <c r="G401" s="33"/>
      <c r="H401" s="38"/>
      <c r="I401" s="36"/>
      <c r="J401" s="36"/>
      <c r="K401" s="36"/>
      <c r="L401" s="32"/>
    </row>
    <row r="402" spans="1:12" ht="12.75">
      <c r="A402" s="33"/>
      <c r="B402" s="40" t="s">
        <v>97</v>
      </c>
      <c r="C402" s="41">
        <f>SUM(C387+C388+C393+C397+C398+C400+C401)</f>
        <v>0</v>
      </c>
      <c r="D402" s="41">
        <f>SUM(D387+D388+D393+D397+D398+D400+D401)</f>
        <v>0</v>
      </c>
      <c r="E402" s="41">
        <f>SUM(E387+E388+E393+E397+E398+E400+E401)</f>
        <v>0</v>
      </c>
      <c r="F402" s="59"/>
      <c r="G402" s="33"/>
      <c r="H402" s="40" t="s">
        <v>98</v>
      </c>
      <c r="I402" s="41">
        <f>SUM(I387:I389)</f>
        <v>72488</v>
      </c>
      <c r="J402" s="41">
        <f>SUM(J387:J389)</f>
        <v>70688</v>
      </c>
      <c r="K402" s="41">
        <f>SUM(K387:K389)</f>
        <v>69964</v>
      </c>
      <c r="L402" s="42">
        <f>K402/J402*100</f>
        <v>98.97578089633319</v>
      </c>
    </row>
    <row r="403" spans="1:12" ht="12.75">
      <c r="A403" s="33"/>
      <c r="B403" s="43" t="s">
        <v>99</v>
      </c>
      <c r="C403" s="44"/>
      <c r="D403" s="44"/>
      <c r="E403" s="44"/>
      <c r="F403" s="60"/>
      <c r="G403" s="33"/>
      <c r="H403" s="38" t="s">
        <v>100</v>
      </c>
      <c r="I403" s="44">
        <f>C402-I402</f>
        <v>-72488</v>
      </c>
      <c r="J403" s="44">
        <v>-70688</v>
      </c>
      <c r="K403" s="36">
        <v>-69964</v>
      </c>
      <c r="L403" s="32">
        <f>K403/J403*100</f>
        <v>98.97578089633319</v>
      </c>
    </row>
    <row r="404" spans="1:12" ht="12.75">
      <c r="A404" s="33"/>
      <c r="B404" s="29" t="s">
        <v>101</v>
      </c>
      <c r="C404" s="36"/>
      <c r="D404" s="36"/>
      <c r="E404" s="36"/>
      <c r="F404" s="58"/>
      <c r="G404" s="33"/>
      <c r="H404" s="40" t="s">
        <v>102</v>
      </c>
      <c r="I404" s="41">
        <f>SUM(I402:I403)</f>
        <v>0</v>
      </c>
      <c r="J404" s="41">
        <f>SUM(J402:J403)</f>
        <v>0</v>
      </c>
      <c r="K404" s="41">
        <f>SUM(K402:K403)</f>
        <v>0</v>
      </c>
      <c r="L404" s="42"/>
    </row>
    <row r="405" spans="1:12" ht="12.75">
      <c r="A405" s="29" t="s">
        <v>103</v>
      </c>
      <c r="B405" s="29" t="s">
        <v>104</v>
      </c>
      <c r="C405" s="36"/>
      <c r="D405" s="36"/>
      <c r="E405" s="36"/>
      <c r="F405" s="58"/>
      <c r="G405" s="33"/>
      <c r="H405" s="43" t="s">
        <v>105</v>
      </c>
      <c r="I405" s="36"/>
      <c r="J405" s="36"/>
      <c r="K405" s="36"/>
      <c r="L405" s="32"/>
    </row>
    <row r="406" spans="1:12" ht="12.75">
      <c r="A406" s="29" t="s">
        <v>106</v>
      </c>
      <c r="B406" s="29" t="s">
        <v>107</v>
      </c>
      <c r="C406" s="36"/>
      <c r="D406" s="36"/>
      <c r="E406" s="36"/>
      <c r="F406" s="58"/>
      <c r="G406" s="33"/>
      <c r="H406" s="29" t="s">
        <v>108</v>
      </c>
      <c r="I406" s="36"/>
      <c r="J406" s="36"/>
      <c r="K406" s="36"/>
      <c r="L406" s="32"/>
    </row>
    <row r="407" spans="1:12" ht="12.75">
      <c r="A407" s="29" t="s">
        <v>109</v>
      </c>
      <c r="B407" s="29" t="s">
        <v>110</v>
      </c>
      <c r="C407" s="36"/>
      <c r="D407" s="36"/>
      <c r="E407" s="36"/>
      <c r="F407" s="58"/>
      <c r="G407" s="29" t="s">
        <v>61</v>
      </c>
      <c r="H407" s="29" t="s">
        <v>111</v>
      </c>
      <c r="I407" s="36"/>
      <c r="J407" s="36"/>
      <c r="K407" s="36"/>
      <c r="L407" s="32"/>
    </row>
    <row r="408" spans="1:12" ht="12.75">
      <c r="A408" s="29" t="s">
        <v>112</v>
      </c>
      <c r="B408" s="29" t="s">
        <v>113</v>
      </c>
      <c r="C408" s="36"/>
      <c r="D408" s="36"/>
      <c r="E408" s="36"/>
      <c r="F408" s="58"/>
      <c r="G408" s="29" t="s">
        <v>65</v>
      </c>
      <c r="H408" s="29" t="s">
        <v>66</v>
      </c>
      <c r="I408" s="36"/>
      <c r="J408" s="36"/>
      <c r="K408" s="36"/>
      <c r="L408" s="32"/>
    </row>
    <row r="409" spans="1:12" ht="12.75">
      <c r="A409" s="29" t="s">
        <v>61</v>
      </c>
      <c r="B409" s="29" t="s">
        <v>114</v>
      </c>
      <c r="C409" s="36"/>
      <c r="D409" s="36"/>
      <c r="E409" s="36"/>
      <c r="F409" s="58"/>
      <c r="G409" s="33" t="s">
        <v>1</v>
      </c>
      <c r="H409" s="38" t="s">
        <v>69</v>
      </c>
      <c r="I409" s="36"/>
      <c r="J409" s="36"/>
      <c r="K409" s="36"/>
      <c r="L409" s="32"/>
    </row>
    <row r="410" spans="1:12" ht="12.75">
      <c r="A410" s="33" t="s">
        <v>1</v>
      </c>
      <c r="B410" s="45" t="s">
        <v>115</v>
      </c>
      <c r="C410" s="36"/>
      <c r="D410" s="36"/>
      <c r="E410" s="36"/>
      <c r="F410" s="58"/>
      <c r="G410" s="33" t="s">
        <v>3</v>
      </c>
      <c r="H410" s="38" t="s">
        <v>116</v>
      </c>
      <c r="I410" s="36"/>
      <c r="J410" s="36"/>
      <c r="K410" s="36"/>
      <c r="L410" s="32"/>
    </row>
    <row r="411" spans="1:12" ht="12.75">
      <c r="A411" s="33" t="s">
        <v>3</v>
      </c>
      <c r="B411" s="45" t="s">
        <v>117</v>
      </c>
      <c r="C411" s="36"/>
      <c r="D411" s="36"/>
      <c r="E411" s="36"/>
      <c r="F411" s="58"/>
      <c r="G411" s="29" t="s">
        <v>118</v>
      </c>
      <c r="H411" s="29" t="s">
        <v>119</v>
      </c>
      <c r="I411" s="36"/>
      <c r="J411" s="36"/>
      <c r="K411" s="36"/>
      <c r="L411" s="32"/>
    </row>
    <row r="412" spans="1:12" ht="12.75">
      <c r="A412" s="33" t="s">
        <v>5</v>
      </c>
      <c r="B412" s="45" t="s">
        <v>120</v>
      </c>
      <c r="C412" s="36"/>
      <c r="D412" s="36"/>
      <c r="E412" s="36"/>
      <c r="F412" s="58"/>
      <c r="G412" s="33" t="s">
        <v>1</v>
      </c>
      <c r="H412" s="45" t="s">
        <v>121</v>
      </c>
      <c r="I412" s="36"/>
      <c r="J412" s="36"/>
      <c r="K412" s="36"/>
      <c r="L412" s="32"/>
    </row>
    <row r="413" spans="1:12" ht="12.75">
      <c r="A413" s="29" t="s">
        <v>122</v>
      </c>
      <c r="B413" s="29" t="s">
        <v>123</v>
      </c>
      <c r="C413" s="36"/>
      <c r="D413" s="36"/>
      <c r="E413" s="36"/>
      <c r="F413" s="58"/>
      <c r="G413" s="33" t="s">
        <v>3</v>
      </c>
      <c r="H413" s="45" t="s">
        <v>124</v>
      </c>
      <c r="I413" s="36"/>
      <c r="J413" s="36"/>
      <c r="K413" s="36"/>
      <c r="L413" s="32"/>
    </row>
    <row r="414" spans="1:12" ht="12.75">
      <c r="A414" s="29" t="s">
        <v>125</v>
      </c>
      <c r="B414" s="29" t="s">
        <v>126</v>
      </c>
      <c r="C414" s="36"/>
      <c r="D414" s="36"/>
      <c r="E414" s="36"/>
      <c r="F414" s="58"/>
      <c r="G414" s="33" t="s">
        <v>5</v>
      </c>
      <c r="H414" s="38" t="s">
        <v>127</v>
      </c>
      <c r="I414" s="36"/>
      <c r="J414" s="36"/>
      <c r="K414" s="36"/>
      <c r="L414" s="32"/>
    </row>
    <row r="415" spans="1:12" ht="12.75">
      <c r="A415" s="29" t="s">
        <v>118</v>
      </c>
      <c r="B415" s="29" t="s">
        <v>128</v>
      </c>
      <c r="C415" s="36">
        <v>0</v>
      </c>
      <c r="D415" s="36">
        <v>0</v>
      </c>
      <c r="E415" s="36"/>
      <c r="F415" s="58"/>
      <c r="G415" s="29" t="s">
        <v>85</v>
      </c>
      <c r="H415" s="29" t="s">
        <v>129</v>
      </c>
      <c r="I415" s="36"/>
      <c r="J415" s="36"/>
      <c r="K415" s="36"/>
      <c r="L415" s="32"/>
    </row>
    <row r="416" spans="1:12" ht="12.75">
      <c r="A416" s="29" t="s">
        <v>85</v>
      </c>
      <c r="B416" s="29" t="s">
        <v>129</v>
      </c>
      <c r="C416" s="36">
        <v>0</v>
      </c>
      <c r="D416" s="36">
        <v>0</v>
      </c>
      <c r="E416" s="36"/>
      <c r="F416" s="58"/>
      <c r="G416" s="29" t="s">
        <v>89</v>
      </c>
      <c r="H416" s="29" t="s">
        <v>90</v>
      </c>
      <c r="I416" s="36"/>
      <c r="J416" s="36"/>
      <c r="K416" s="36"/>
      <c r="L416" s="32"/>
    </row>
    <row r="417" spans="1:12" ht="12.75">
      <c r="A417" s="29" t="s">
        <v>89</v>
      </c>
      <c r="B417" s="29" t="s">
        <v>96</v>
      </c>
      <c r="C417" s="36">
        <v>0</v>
      </c>
      <c r="D417" s="36">
        <v>0</v>
      </c>
      <c r="E417" s="36"/>
      <c r="F417" s="58"/>
      <c r="G417" s="33" t="s">
        <v>1</v>
      </c>
      <c r="H417" s="38" t="s">
        <v>92</v>
      </c>
      <c r="I417" s="36"/>
      <c r="J417" s="36"/>
      <c r="K417" s="36"/>
      <c r="L417" s="32"/>
    </row>
    <row r="418" spans="1:12" ht="12.75">
      <c r="A418" s="33"/>
      <c r="B418" s="40" t="s">
        <v>130</v>
      </c>
      <c r="C418" s="41">
        <f>SUM(C415:C417)</f>
        <v>0</v>
      </c>
      <c r="D418" s="41">
        <f>SUM(D415:D417)</f>
        <v>0</v>
      </c>
      <c r="E418" s="41">
        <f>SUM(E415:E417)</f>
        <v>0</v>
      </c>
      <c r="F418" s="42"/>
      <c r="G418" s="33" t="s">
        <v>142</v>
      </c>
      <c r="H418" s="40" t="s">
        <v>131</v>
      </c>
      <c r="I418" s="41">
        <f>SUM(I415:I417)</f>
        <v>0</v>
      </c>
      <c r="J418" s="41">
        <f>SUM(J415:J417)</f>
        <v>0</v>
      </c>
      <c r="K418" s="41">
        <f>SUM(K415:K417)</f>
        <v>0</v>
      </c>
      <c r="L418" s="42"/>
    </row>
    <row r="419" spans="1:12" ht="12.75">
      <c r="A419" s="33"/>
      <c r="B419" s="43" t="s">
        <v>134</v>
      </c>
      <c r="C419" s="44"/>
      <c r="D419" s="44"/>
      <c r="E419" s="46"/>
      <c r="F419" s="61"/>
      <c r="G419" s="33" t="s">
        <v>143</v>
      </c>
      <c r="H419" s="38" t="s">
        <v>135</v>
      </c>
      <c r="I419" s="36">
        <f>C418-I418</f>
        <v>0</v>
      </c>
      <c r="J419" s="36">
        <f>D418-J418</f>
        <v>0</v>
      </c>
      <c r="K419" s="36">
        <f>D418-K418</f>
        <v>0</v>
      </c>
      <c r="L419" s="32"/>
    </row>
    <row r="420" spans="1:12" ht="12.75">
      <c r="A420" s="33"/>
      <c r="B420" s="47" t="s">
        <v>136</v>
      </c>
      <c r="C420" s="48">
        <f>SUM(C419+C403)</f>
        <v>0</v>
      </c>
      <c r="D420" s="48">
        <f>SUM(D419+D403)</f>
        <v>0</v>
      </c>
      <c r="E420" s="57"/>
      <c r="F420" s="62"/>
      <c r="G420" s="33" t="s">
        <v>144</v>
      </c>
      <c r="H420" s="47" t="s">
        <v>137</v>
      </c>
      <c r="I420" s="35"/>
      <c r="J420" s="35"/>
      <c r="K420" s="36"/>
      <c r="L420" s="32"/>
    </row>
    <row r="421" spans="1:12" ht="12.75">
      <c r="A421" s="33"/>
      <c r="B421" s="40" t="s">
        <v>167</v>
      </c>
      <c r="C421" s="41">
        <f>SUM(C418+C402+C420)</f>
        <v>0</v>
      </c>
      <c r="D421" s="41">
        <f>SUM(D418+D402+D420)</f>
        <v>0</v>
      </c>
      <c r="E421" s="41">
        <f>SUM(E418+E402+E420)</f>
        <v>0</v>
      </c>
      <c r="F421" s="42"/>
      <c r="G421" s="33" t="s">
        <v>146</v>
      </c>
      <c r="H421" s="40" t="s">
        <v>167</v>
      </c>
      <c r="I421" s="41">
        <f>SUM(I404,I418,I420)</f>
        <v>0</v>
      </c>
      <c r="J421" s="41">
        <f>SUM(J404,J418,J420)</f>
        <v>0</v>
      </c>
      <c r="K421" s="41">
        <f>SUM(K404,K418,K420)</f>
        <v>0</v>
      </c>
      <c r="L421" s="42"/>
    </row>
  </sheetData>
  <sheetProtection selectLockedCells="1" selectUnlockedCells="1"/>
  <mergeCells count="140">
    <mergeCell ref="A1:L2"/>
    <mergeCell ref="I3:L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44:L45"/>
    <mergeCell ref="I46:L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A86:L87"/>
    <mergeCell ref="I88:L8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K89:K91"/>
    <mergeCell ref="L89:L91"/>
    <mergeCell ref="A128:L129"/>
    <mergeCell ref="I130:L130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J131:J133"/>
    <mergeCell ref="K131:K133"/>
    <mergeCell ref="L131:L133"/>
    <mergeCell ref="A170:L171"/>
    <mergeCell ref="I172:L172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A212:L213"/>
    <mergeCell ref="I214:L214"/>
    <mergeCell ref="A215:A217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J215:J217"/>
    <mergeCell ref="K215:K217"/>
    <mergeCell ref="L215:L217"/>
    <mergeCell ref="A254:L255"/>
    <mergeCell ref="I256:L256"/>
    <mergeCell ref="A257:A259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J257:J259"/>
    <mergeCell ref="K257:K259"/>
    <mergeCell ref="L257:L259"/>
    <mergeCell ref="A296:L297"/>
    <mergeCell ref="I298:L298"/>
    <mergeCell ref="A299:A301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J299:J301"/>
    <mergeCell ref="K299:K301"/>
    <mergeCell ref="L299:L301"/>
    <mergeCell ref="A338:L339"/>
    <mergeCell ref="I340:L340"/>
    <mergeCell ref="A341:A343"/>
    <mergeCell ref="B341:B343"/>
    <mergeCell ref="C341:C343"/>
    <mergeCell ref="D341:D343"/>
    <mergeCell ref="E341:E343"/>
    <mergeCell ref="F341:F343"/>
    <mergeCell ref="G341:G343"/>
    <mergeCell ref="H341:H343"/>
    <mergeCell ref="I341:I343"/>
    <mergeCell ref="J341:J343"/>
    <mergeCell ref="K341:K343"/>
    <mergeCell ref="L341:L343"/>
    <mergeCell ref="A380:L381"/>
    <mergeCell ref="I382:L382"/>
    <mergeCell ref="A383:A385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J383:J385"/>
    <mergeCell ref="K383:K385"/>
    <mergeCell ref="L383:L385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84"/>
  <headerFooter alignWithMargins="0">
    <oddFooter>&amp;C&amp;P. oldal</oddFooter>
  </headerFooter>
  <rowBreaks count="7" manualBreakCount="7">
    <brk id="43" max="255" man="1"/>
    <brk id="85" max="255" man="1"/>
    <brk id="127" max="255" man="1"/>
    <brk id="253" max="255" man="1"/>
    <brk id="295" max="255" man="1"/>
    <brk id="337" max="255" man="1"/>
    <brk id="3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P42"/>
  <sheetViews>
    <sheetView workbookViewId="0" topLeftCell="C1">
      <selection activeCell="R24" sqref="R24"/>
    </sheetView>
  </sheetViews>
  <sheetFormatPr defaultColWidth="8.00390625" defaultRowHeight="12.75"/>
  <cols>
    <col min="1" max="1" width="4.00390625" style="63" customWidth="1"/>
    <col min="2" max="2" width="41.28125" style="64" customWidth="1"/>
    <col min="3" max="3" width="6.57421875" style="65" customWidth="1"/>
    <col min="4" max="4" width="9.421875" style="65" customWidth="1"/>
    <col min="5" max="5" width="6.57421875" style="65" customWidth="1"/>
    <col min="6" max="15" width="8.28125" style="65" customWidth="1"/>
    <col min="16" max="16384" width="8.00390625" style="66" customWidth="1"/>
  </cols>
  <sheetData>
    <row r="3" spans="1:15" ht="24" customHeight="1">
      <c r="A3" s="67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69"/>
      <c r="O3" s="70"/>
    </row>
    <row r="4" spans="1:15" ht="26.25" customHeight="1">
      <c r="A4" s="71" t="s">
        <v>168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 customHeight="1">
      <c r="A5" s="72"/>
      <c r="B5" s="73"/>
      <c r="C5" s="69"/>
      <c r="D5" s="69"/>
      <c r="E5" s="69"/>
      <c r="F5" s="74"/>
      <c r="G5" s="74"/>
      <c r="H5" s="74"/>
      <c r="I5" s="74"/>
      <c r="J5" s="74"/>
      <c r="K5" s="69"/>
      <c r="L5" s="69"/>
      <c r="M5" s="70"/>
      <c r="N5" s="69"/>
      <c r="O5" s="75" t="s">
        <v>169</v>
      </c>
    </row>
    <row r="6" spans="1:15" ht="19.5" customHeight="1">
      <c r="A6" s="76" t="s">
        <v>170</v>
      </c>
      <c r="B6" s="77" t="s">
        <v>171</v>
      </c>
      <c r="C6" s="78"/>
      <c r="D6" s="79" t="s">
        <v>172</v>
      </c>
      <c r="E6" s="79"/>
      <c r="F6" s="80" t="s">
        <v>173</v>
      </c>
      <c r="G6" s="80"/>
      <c r="H6" s="81" t="s">
        <v>174</v>
      </c>
      <c r="I6" s="81"/>
      <c r="J6" s="82" t="s">
        <v>175</v>
      </c>
      <c r="K6" s="82"/>
      <c r="L6" s="82" t="s">
        <v>176</v>
      </c>
      <c r="M6" s="82"/>
      <c r="N6" s="82" t="s">
        <v>177</v>
      </c>
      <c r="O6" s="82"/>
    </row>
    <row r="7" spans="1:15" ht="12.75">
      <c r="A7" s="83" t="s">
        <v>178</v>
      </c>
      <c r="B7" s="84"/>
      <c r="C7" s="85" t="s">
        <v>179</v>
      </c>
      <c r="D7" s="85" t="s">
        <v>124</v>
      </c>
      <c r="E7" s="86" t="s">
        <v>121</v>
      </c>
      <c r="F7" s="86" t="s">
        <v>180</v>
      </c>
      <c r="G7" s="86" t="s">
        <v>181</v>
      </c>
      <c r="H7" s="85" t="s">
        <v>180</v>
      </c>
      <c r="I7" s="86" t="s">
        <v>181</v>
      </c>
      <c r="J7" s="87" t="s">
        <v>182</v>
      </c>
      <c r="K7" s="86" t="s">
        <v>181</v>
      </c>
      <c r="L7" s="87" t="s">
        <v>182</v>
      </c>
      <c r="M7" s="86" t="s">
        <v>181</v>
      </c>
      <c r="N7" s="87" t="s">
        <v>182</v>
      </c>
      <c r="O7" s="86" t="s">
        <v>181</v>
      </c>
    </row>
    <row r="8" spans="1:15" ht="17.25" customHeight="1">
      <c r="A8" s="88"/>
      <c r="B8" s="84" t="s">
        <v>183</v>
      </c>
      <c r="C8" s="89" t="s">
        <v>184</v>
      </c>
      <c r="D8" s="89"/>
      <c r="E8" s="90"/>
      <c r="F8" s="90" t="s">
        <v>185</v>
      </c>
      <c r="G8" s="90"/>
      <c r="H8" s="90" t="s">
        <v>185</v>
      </c>
      <c r="I8" s="90"/>
      <c r="J8" s="90" t="s">
        <v>186</v>
      </c>
      <c r="K8" s="90"/>
      <c r="L8" s="90" t="s">
        <v>186</v>
      </c>
      <c r="M8" s="90"/>
      <c r="N8" s="90" t="s">
        <v>186</v>
      </c>
      <c r="O8" s="90"/>
    </row>
    <row r="9" spans="1:15" ht="20.25" customHeight="1" hidden="1">
      <c r="A9" s="91" t="s">
        <v>51</v>
      </c>
      <c r="B9" s="92" t="s">
        <v>187</v>
      </c>
      <c r="C9" s="93"/>
      <c r="D9" s="94"/>
      <c r="E9" s="94"/>
      <c r="F9" s="94"/>
      <c r="G9" s="95"/>
      <c r="H9" s="94"/>
      <c r="I9" s="96"/>
      <c r="J9" s="97"/>
      <c r="K9" s="97"/>
      <c r="L9" s="96"/>
      <c r="M9" s="96"/>
      <c r="N9" s="96"/>
      <c r="O9" s="98"/>
    </row>
    <row r="10" spans="1:15" s="107" customFormat="1" ht="27" customHeight="1" hidden="1">
      <c r="A10" s="99" t="s">
        <v>1</v>
      </c>
      <c r="B10" s="100" t="s">
        <v>188</v>
      </c>
      <c r="C10" s="101"/>
      <c r="D10" s="102"/>
      <c r="E10" s="102"/>
      <c r="F10" s="102"/>
      <c r="G10" s="103"/>
      <c r="H10" s="102"/>
      <c r="I10" s="104"/>
      <c r="J10" s="105"/>
      <c r="K10" s="105"/>
      <c r="L10" s="104"/>
      <c r="M10" s="104"/>
      <c r="N10" s="104"/>
      <c r="O10" s="106"/>
    </row>
    <row r="11" spans="1:15" ht="25.5" customHeight="1" hidden="1">
      <c r="A11" s="108"/>
      <c r="B11" s="109" t="s">
        <v>189</v>
      </c>
      <c r="C11" s="103">
        <v>2009</v>
      </c>
      <c r="D11" s="110"/>
      <c r="E11" s="110">
        <v>1515</v>
      </c>
      <c r="F11" s="111">
        <v>1515</v>
      </c>
      <c r="G11" s="112"/>
      <c r="H11" s="111"/>
      <c r="I11" s="113"/>
      <c r="J11" s="114">
        <v>1515</v>
      </c>
      <c r="K11" s="114"/>
      <c r="L11" s="113"/>
      <c r="M11" s="113"/>
      <c r="N11" s="113"/>
      <c r="O11" s="115"/>
    </row>
    <row r="12" spans="1:15" s="107" customFormat="1" ht="15" customHeight="1" hidden="1">
      <c r="A12" s="99" t="s">
        <v>3</v>
      </c>
      <c r="B12" s="100" t="s">
        <v>190</v>
      </c>
      <c r="C12" s="101"/>
      <c r="D12" s="116"/>
      <c r="E12" s="116"/>
      <c r="F12" s="102"/>
      <c r="G12" s="103"/>
      <c r="H12" s="102"/>
      <c r="I12" s="104"/>
      <c r="J12" s="105"/>
      <c r="K12" s="105"/>
      <c r="L12" s="104"/>
      <c r="M12" s="104"/>
      <c r="N12" s="104"/>
      <c r="O12" s="106"/>
    </row>
    <row r="13" spans="1:15" s="107" customFormat="1" ht="17.25" customHeight="1" hidden="1">
      <c r="A13" s="117"/>
      <c r="B13" s="118" t="s">
        <v>191</v>
      </c>
      <c r="C13" s="119">
        <v>2009</v>
      </c>
      <c r="D13" s="120"/>
      <c r="E13" s="120">
        <v>15000</v>
      </c>
      <c r="F13" s="111">
        <v>15000</v>
      </c>
      <c r="G13" s="103"/>
      <c r="H13" s="102"/>
      <c r="I13" s="104"/>
      <c r="J13" s="114">
        <v>15000</v>
      </c>
      <c r="K13" s="105"/>
      <c r="L13" s="104"/>
      <c r="M13" s="104"/>
      <c r="N13" s="104"/>
      <c r="O13" s="106"/>
    </row>
    <row r="14" spans="1:15" ht="16.5" customHeight="1" hidden="1">
      <c r="A14" s="121"/>
      <c r="B14" s="122" t="s">
        <v>192</v>
      </c>
      <c r="C14" s="123"/>
      <c r="D14" s="124">
        <f>SUM(D9:D13)</f>
        <v>0</v>
      </c>
      <c r="E14" s="125">
        <v>0</v>
      </c>
      <c r="F14" s="125">
        <f>SUM(F10:F13)</f>
        <v>16515</v>
      </c>
      <c r="G14" s="125">
        <v>0</v>
      </c>
      <c r="H14" s="125">
        <v>0</v>
      </c>
      <c r="I14" s="125">
        <v>0</v>
      </c>
      <c r="J14" s="125">
        <f>SUM(J11:J13)</f>
        <v>16515</v>
      </c>
      <c r="K14" s="125">
        <v>0</v>
      </c>
      <c r="L14" s="125">
        <v>0</v>
      </c>
      <c r="M14" s="125">
        <v>0</v>
      </c>
      <c r="N14" s="125">
        <v>0</v>
      </c>
      <c r="O14" s="126">
        <v>0</v>
      </c>
    </row>
    <row r="15" spans="1:15" ht="16.5" customHeight="1" hidden="1">
      <c r="A15" s="127"/>
      <c r="B15" s="122"/>
      <c r="C15" s="128"/>
      <c r="D15" s="129">
        <f>D14+E14</f>
        <v>0</v>
      </c>
      <c r="E15" s="129"/>
      <c r="F15" s="130">
        <f>F14+G14</f>
        <v>16515</v>
      </c>
      <c r="G15" s="130"/>
      <c r="H15" s="130">
        <f>H14+I14</f>
        <v>0</v>
      </c>
      <c r="I15" s="130"/>
      <c r="J15" s="130">
        <f>J14+K14</f>
        <v>16515</v>
      </c>
      <c r="K15" s="130"/>
      <c r="L15" s="130">
        <f>L14+M14</f>
        <v>0</v>
      </c>
      <c r="M15" s="130"/>
      <c r="N15" s="131">
        <f>N14+O14</f>
        <v>0</v>
      </c>
      <c r="O15" s="131"/>
    </row>
    <row r="16" spans="1:15" ht="6.7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5" ht="19.5" customHeight="1">
      <c r="A17" s="133"/>
      <c r="B17" s="134" t="s">
        <v>193</v>
      </c>
      <c r="C17" s="135"/>
      <c r="D17" s="136"/>
      <c r="E17" s="136"/>
      <c r="F17" s="136"/>
      <c r="G17" s="137"/>
      <c r="H17" s="136"/>
      <c r="I17" s="136"/>
      <c r="J17" s="138"/>
      <c r="K17" s="138"/>
      <c r="L17" s="138"/>
      <c r="M17" s="138"/>
      <c r="N17" s="138"/>
      <c r="O17" s="139"/>
    </row>
    <row r="18" spans="1:15" ht="23.25" customHeight="1">
      <c r="A18" s="140" t="s">
        <v>17</v>
      </c>
      <c r="B18" s="141" t="s">
        <v>194</v>
      </c>
      <c r="C18" s="142">
        <v>2008</v>
      </c>
      <c r="D18" s="116">
        <v>4428</v>
      </c>
      <c r="E18" s="110"/>
      <c r="F18" s="110">
        <v>4428</v>
      </c>
      <c r="G18" s="143"/>
      <c r="H18" s="110"/>
      <c r="I18" s="144"/>
      <c r="J18" s="145">
        <f>F18-H18+G18</f>
        <v>4428</v>
      </c>
      <c r="K18" s="145"/>
      <c r="L18" s="113">
        <v>4428</v>
      </c>
      <c r="M18" s="113"/>
      <c r="N18" s="113">
        <f>415+237</f>
        <v>652</v>
      </c>
      <c r="O18" s="115"/>
    </row>
    <row r="19" spans="1:15" ht="19.5" customHeight="1">
      <c r="A19" s="146"/>
      <c r="B19" s="141" t="s">
        <v>195</v>
      </c>
      <c r="C19" s="142" t="s">
        <v>196</v>
      </c>
      <c r="D19" s="116"/>
      <c r="E19" s="110"/>
      <c r="F19" s="110"/>
      <c r="G19" s="143"/>
      <c r="H19" s="110"/>
      <c r="I19" s="144"/>
      <c r="J19" s="145"/>
      <c r="K19" s="145"/>
      <c r="L19" s="113">
        <f>1917+479+148+29</f>
        <v>2573</v>
      </c>
      <c r="M19" s="113"/>
      <c r="N19" s="113">
        <v>176</v>
      </c>
      <c r="O19" s="115"/>
    </row>
    <row r="20" spans="1:15" ht="19.5" customHeight="1">
      <c r="A20" s="146"/>
      <c r="B20" s="141" t="s">
        <v>197</v>
      </c>
      <c r="C20" s="142"/>
      <c r="D20" s="116"/>
      <c r="E20" s="110"/>
      <c r="F20" s="110"/>
      <c r="G20" s="143"/>
      <c r="H20" s="110"/>
      <c r="I20" s="144"/>
      <c r="J20" s="145"/>
      <c r="K20" s="145"/>
      <c r="L20" s="113"/>
      <c r="M20" s="113"/>
      <c r="N20" s="113">
        <v>305</v>
      </c>
      <c r="O20" s="115"/>
    </row>
    <row r="21" spans="1:15" ht="19.5" customHeight="1">
      <c r="A21" s="146"/>
      <c r="B21" s="141" t="s">
        <v>198</v>
      </c>
      <c r="C21" s="142"/>
      <c r="D21" s="116"/>
      <c r="E21" s="110"/>
      <c r="F21" s="110"/>
      <c r="G21" s="143"/>
      <c r="H21" s="110"/>
      <c r="I21" s="144"/>
      <c r="J21" s="145"/>
      <c r="K21" s="145"/>
      <c r="L21" s="113">
        <f>362+91</f>
        <v>453</v>
      </c>
      <c r="M21" s="113"/>
      <c r="N21" s="113">
        <f>536+107</f>
        <v>643</v>
      </c>
      <c r="O21" s="115"/>
    </row>
    <row r="22" spans="1:15" ht="19.5" customHeight="1">
      <c r="A22" s="146"/>
      <c r="B22" s="141" t="s">
        <v>199</v>
      </c>
      <c r="C22" s="142"/>
      <c r="D22" s="116"/>
      <c r="E22" s="110"/>
      <c r="F22" s="110"/>
      <c r="G22" s="143"/>
      <c r="H22" s="110"/>
      <c r="I22" s="144"/>
      <c r="J22" s="145"/>
      <c r="K22" s="145"/>
      <c r="L22" s="113">
        <f>547+137</f>
        <v>684</v>
      </c>
      <c r="M22" s="113"/>
      <c r="N22" s="113"/>
      <c r="O22" s="115"/>
    </row>
    <row r="23" spans="1:16" ht="19.5" customHeight="1">
      <c r="A23" s="146"/>
      <c r="B23" s="141" t="s">
        <v>200</v>
      </c>
      <c r="C23" s="142"/>
      <c r="D23" s="116"/>
      <c r="E23" s="110"/>
      <c r="F23" s="110"/>
      <c r="G23" s="143"/>
      <c r="H23" s="110"/>
      <c r="I23" s="144"/>
      <c r="J23" s="145"/>
      <c r="K23" s="145"/>
      <c r="L23" s="113"/>
      <c r="M23" s="113"/>
      <c r="N23" s="113">
        <v>120</v>
      </c>
      <c r="O23" s="115"/>
      <c r="P23" s="147"/>
    </row>
    <row r="24" spans="1:15" ht="23.25" customHeight="1">
      <c r="A24" s="140" t="s">
        <v>15</v>
      </c>
      <c r="B24" s="141" t="s">
        <v>201</v>
      </c>
      <c r="C24" s="142">
        <v>2009</v>
      </c>
      <c r="D24" s="116">
        <v>1500</v>
      </c>
      <c r="E24" s="110"/>
      <c r="F24" s="110">
        <v>1500</v>
      </c>
      <c r="G24" s="143"/>
      <c r="H24" s="110"/>
      <c r="I24" s="144"/>
      <c r="J24" s="145">
        <f>F24-H24+G24</f>
        <v>1500</v>
      </c>
      <c r="K24" s="145"/>
      <c r="L24" s="113">
        <f>1500-69</f>
        <v>1431</v>
      </c>
      <c r="M24" s="148"/>
      <c r="N24" s="113"/>
      <c r="O24" s="149"/>
    </row>
    <row r="25" spans="1:15" ht="19.5" customHeight="1">
      <c r="A25" s="146"/>
      <c r="B25" s="141" t="s">
        <v>202</v>
      </c>
      <c r="C25" s="142"/>
      <c r="D25" s="116"/>
      <c r="E25" s="110"/>
      <c r="F25" s="110"/>
      <c r="G25" s="143"/>
      <c r="H25" s="110"/>
      <c r="I25" s="144"/>
      <c r="J25" s="145"/>
      <c r="K25" s="145"/>
      <c r="L25" s="113"/>
      <c r="M25" s="113"/>
      <c r="N25" s="113">
        <v>360</v>
      </c>
      <c r="O25" s="115"/>
    </row>
    <row r="26" spans="1:15" ht="19.5" customHeight="1">
      <c r="A26" s="146"/>
      <c r="B26" s="141" t="s">
        <v>203</v>
      </c>
      <c r="C26" s="142"/>
      <c r="D26" s="116"/>
      <c r="E26" s="110"/>
      <c r="F26" s="110"/>
      <c r="G26" s="143"/>
      <c r="H26" s="110"/>
      <c r="I26" s="144"/>
      <c r="J26" s="145"/>
      <c r="K26" s="145"/>
      <c r="L26" s="113">
        <v>639</v>
      </c>
      <c r="M26" s="113"/>
      <c r="N26" s="113">
        <v>615</v>
      </c>
      <c r="O26" s="115"/>
    </row>
    <row r="27" spans="1:15" ht="19.5" customHeight="1">
      <c r="A27" s="146"/>
      <c r="B27" s="141" t="s">
        <v>204</v>
      </c>
      <c r="C27" s="142"/>
      <c r="D27" s="116">
        <v>199188</v>
      </c>
      <c r="E27" s="110"/>
      <c r="F27" s="110">
        <v>19919</v>
      </c>
      <c r="G27" s="143">
        <v>179269</v>
      </c>
      <c r="H27" s="110"/>
      <c r="I27" s="144"/>
      <c r="J27" s="145"/>
      <c r="K27" s="145"/>
      <c r="L27" s="113">
        <v>19919</v>
      </c>
      <c r="M27" s="113"/>
      <c r="N27" s="113">
        <v>1165</v>
      </c>
      <c r="O27" s="115"/>
    </row>
    <row r="28" spans="1:15" ht="26.25" customHeight="1">
      <c r="A28" s="140" t="s">
        <v>1</v>
      </c>
      <c r="B28" s="141" t="s">
        <v>205</v>
      </c>
      <c r="C28" s="142">
        <v>2008</v>
      </c>
      <c r="D28" s="116">
        <v>21000</v>
      </c>
      <c r="E28" s="110"/>
      <c r="F28" s="144">
        <v>1050</v>
      </c>
      <c r="G28" s="110"/>
      <c r="H28" s="110"/>
      <c r="I28" s="110"/>
      <c r="J28" s="145">
        <f>F28-H28+G28</f>
        <v>1050</v>
      </c>
      <c r="K28" s="145"/>
      <c r="L28" s="110">
        <v>1050</v>
      </c>
      <c r="M28" s="110"/>
      <c r="N28" s="110">
        <v>360</v>
      </c>
      <c r="O28" s="150"/>
    </row>
    <row r="29" spans="1:15" ht="15.75" customHeight="1">
      <c r="A29" s="140" t="s">
        <v>3</v>
      </c>
      <c r="B29" s="151" t="s">
        <v>206</v>
      </c>
      <c r="C29" s="142">
        <v>2008</v>
      </c>
      <c r="D29" s="116">
        <v>195600</v>
      </c>
      <c r="E29" s="110"/>
      <c r="F29" s="110">
        <v>95600</v>
      </c>
      <c r="G29" s="110"/>
      <c r="H29" s="144"/>
      <c r="I29" s="110"/>
      <c r="J29" s="145">
        <f>F29-H29+G29</f>
        <v>95600</v>
      </c>
      <c r="K29" s="145"/>
      <c r="L29" s="110">
        <v>16679</v>
      </c>
      <c r="M29" s="110"/>
      <c r="N29" s="110"/>
      <c r="O29" s="150"/>
    </row>
    <row r="30" spans="1:15" ht="14.25" customHeight="1">
      <c r="A30" s="140" t="s">
        <v>7</v>
      </c>
      <c r="B30" s="152" t="s">
        <v>207</v>
      </c>
      <c r="C30" s="142">
        <v>2008</v>
      </c>
      <c r="D30" s="153">
        <v>63249</v>
      </c>
      <c r="E30" s="110"/>
      <c r="F30" s="154">
        <v>9487</v>
      </c>
      <c r="G30" s="110"/>
      <c r="H30" s="144"/>
      <c r="I30" s="110"/>
      <c r="J30" s="145">
        <f>F30-H30+G30</f>
        <v>9487</v>
      </c>
      <c r="K30" s="145"/>
      <c r="L30" s="113">
        <v>9487</v>
      </c>
      <c r="M30" s="113"/>
      <c r="N30" s="113"/>
      <c r="O30" s="115"/>
    </row>
    <row r="31" spans="1:15" ht="27" customHeight="1">
      <c r="A31" s="140" t="s">
        <v>9</v>
      </c>
      <c r="B31" s="155" t="s">
        <v>208</v>
      </c>
      <c r="C31" s="142">
        <v>2008</v>
      </c>
      <c r="D31" s="116">
        <v>56107</v>
      </c>
      <c r="E31" s="110"/>
      <c r="F31" s="110">
        <f>56107-49029</f>
        <v>7078</v>
      </c>
      <c r="G31" s="110">
        <v>49029</v>
      </c>
      <c r="H31" s="110"/>
      <c r="I31" s="144"/>
      <c r="J31" s="145">
        <f>F31-H31+G31</f>
        <v>56107</v>
      </c>
      <c r="K31" s="145">
        <v>49029</v>
      </c>
      <c r="L31" s="113">
        <v>56107</v>
      </c>
      <c r="M31" s="148">
        <v>49029</v>
      </c>
      <c r="N31" s="113">
        <v>4583</v>
      </c>
      <c r="O31" s="149"/>
    </row>
    <row r="32" spans="1:15" ht="26.25" customHeight="1">
      <c r="A32" s="140" t="s">
        <v>13</v>
      </c>
      <c r="B32" s="155" t="s">
        <v>209</v>
      </c>
      <c r="C32" s="142">
        <v>2008</v>
      </c>
      <c r="D32" s="116">
        <v>1052000</v>
      </c>
      <c r="E32" s="110"/>
      <c r="F32" s="110"/>
      <c r="G32" s="110"/>
      <c r="H32" s="144"/>
      <c r="I32" s="144"/>
      <c r="J32" s="145"/>
      <c r="K32" s="145"/>
      <c r="L32" s="113">
        <v>19319</v>
      </c>
      <c r="M32" s="148">
        <v>18823</v>
      </c>
      <c r="N32" s="113">
        <v>19319</v>
      </c>
      <c r="O32" s="149"/>
    </row>
    <row r="33" spans="1:15" ht="23.25" customHeight="1">
      <c r="A33" s="140" t="s">
        <v>19</v>
      </c>
      <c r="B33" s="151" t="s">
        <v>210</v>
      </c>
      <c r="C33" s="142" t="s">
        <v>196</v>
      </c>
      <c r="D33" s="116">
        <v>40000</v>
      </c>
      <c r="E33" s="110"/>
      <c r="F33" s="144">
        <v>4000</v>
      </c>
      <c r="G33" s="110"/>
      <c r="H33" s="110"/>
      <c r="I33" s="110"/>
      <c r="J33" s="145">
        <f>F33-H33+G33</f>
        <v>4000</v>
      </c>
      <c r="K33" s="145"/>
      <c r="L33" s="110">
        <v>4000</v>
      </c>
      <c r="M33" s="110"/>
      <c r="N33" s="110"/>
      <c r="O33" s="150"/>
    </row>
    <row r="34" spans="1:15" ht="23.25" customHeight="1">
      <c r="A34" s="140"/>
      <c r="B34" s="151" t="s">
        <v>211</v>
      </c>
      <c r="C34" s="142"/>
      <c r="D34" s="116">
        <v>53184</v>
      </c>
      <c r="E34" s="110"/>
      <c r="F34" s="144">
        <v>5328</v>
      </c>
      <c r="G34" s="110"/>
      <c r="H34" s="110"/>
      <c r="I34" s="110"/>
      <c r="J34" s="145"/>
      <c r="K34" s="145"/>
      <c r="L34" s="110">
        <v>5328</v>
      </c>
      <c r="M34" s="110"/>
      <c r="N34" s="110">
        <f>95+47+38+9</f>
        <v>189</v>
      </c>
      <c r="O34" s="150"/>
    </row>
    <row r="35" spans="1:15" ht="17.25" customHeight="1">
      <c r="A35" s="140" t="s">
        <v>21</v>
      </c>
      <c r="B35" s="151" t="s">
        <v>212</v>
      </c>
      <c r="C35" s="142" t="s">
        <v>196</v>
      </c>
      <c r="D35" s="116"/>
      <c r="E35" s="110"/>
      <c r="F35" s="144">
        <v>2000</v>
      </c>
      <c r="G35" s="110"/>
      <c r="H35" s="110"/>
      <c r="I35" s="110"/>
      <c r="J35" s="145">
        <f>F35-H35</f>
        <v>2000</v>
      </c>
      <c r="K35" s="145"/>
      <c r="L35" s="110">
        <v>2000</v>
      </c>
      <c r="M35" s="110"/>
      <c r="N35" s="110"/>
      <c r="O35" s="150"/>
    </row>
    <row r="36" spans="1:15" ht="17.25" customHeight="1">
      <c r="A36" s="140" t="s">
        <v>23</v>
      </c>
      <c r="B36" s="151" t="s">
        <v>213</v>
      </c>
      <c r="C36" s="142" t="s">
        <v>196</v>
      </c>
      <c r="D36" s="116"/>
      <c r="E36" s="110"/>
      <c r="F36" s="144"/>
      <c r="G36" s="110"/>
      <c r="H36" s="110"/>
      <c r="I36" s="110"/>
      <c r="J36" s="145">
        <f>F36-H36</f>
        <v>0</v>
      </c>
      <c r="K36" s="145"/>
      <c r="L36" s="110">
        <v>192</v>
      </c>
      <c r="M36" s="110"/>
      <c r="N36" s="110">
        <v>192</v>
      </c>
      <c r="O36" s="150"/>
    </row>
    <row r="37" spans="1:15" ht="18.75" customHeight="1">
      <c r="A37" s="140" t="s">
        <v>25</v>
      </c>
      <c r="B37" s="151" t="s">
        <v>214</v>
      </c>
      <c r="C37" s="142"/>
      <c r="D37" s="116"/>
      <c r="E37" s="110"/>
      <c r="F37" s="110"/>
      <c r="G37" s="110"/>
      <c r="H37" s="144"/>
      <c r="I37" s="144"/>
      <c r="J37" s="145">
        <f>F37-H37</f>
        <v>0</v>
      </c>
      <c r="K37" s="145"/>
      <c r="L37" s="113"/>
      <c r="M37" s="148"/>
      <c r="N37" s="113">
        <v>245</v>
      </c>
      <c r="O37" s="149"/>
    </row>
    <row r="38" spans="1:15" s="107" customFormat="1" ht="17.25" customHeight="1">
      <c r="A38" s="140" t="s">
        <v>27</v>
      </c>
      <c r="B38" s="118"/>
      <c r="C38" s="119"/>
      <c r="D38" s="156"/>
      <c r="E38" s="156"/>
      <c r="F38" s="110"/>
      <c r="G38" s="103"/>
      <c r="H38" s="102"/>
      <c r="I38" s="104"/>
      <c r="J38" s="114"/>
      <c r="K38" s="105"/>
      <c r="L38" s="104"/>
      <c r="M38" s="104"/>
      <c r="N38" s="104"/>
      <c r="O38" s="106"/>
    </row>
    <row r="39" spans="1:15" s="107" customFormat="1" ht="14.25" customHeight="1">
      <c r="A39" s="157"/>
      <c r="B39" s="158" t="s">
        <v>215</v>
      </c>
      <c r="C39" s="159"/>
      <c r="D39" s="160">
        <f aca="true" t="shared" si="0" ref="D39:I39">SUM(D28:D38)</f>
        <v>1481140</v>
      </c>
      <c r="E39" s="160">
        <f t="shared" si="0"/>
        <v>0</v>
      </c>
      <c r="F39" s="160">
        <f t="shared" si="0"/>
        <v>124543</v>
      </c>
      <c r="G39" s="160">
        <f t="shared" si="0"/>
        <v>49029</v>
      </c>
      <c r="H39" s="160">
        <f t="shared" si="0"/>
        <v>0</v>
      </c>
      <c r="I39" s="160">
        <f t="shared" si="0"/>
        <v>0</v>
      </c>
      <c r="J39" s="160">
        <f aca="true" t="shared" si="1" ref="J39:O39">SUM(J18:J38)</f>
        <v>174172</v>
      </c>
      <c r="K39" s="160">
        <f t="shared" si="1"/>
        <v>49029</v>
      </c>
      <c r="L39" s="160">
        <f t="shared" si="1"/>
        <v>144289</v>
      </c>
      <c r="M39" s="160">
        <f t="shared" si="1"/>
        <v>67852</v>
      </c>
      <c r="N39" s="160">
        <f t="shared" si="1"/>
        <v>28924</v>
      </c>
      <c r="O39" s="160">
        <f t="shared" si="1"/>
        <v>0</v>
      </c>
    </row>
    <row r="41" ht="12.75">
      <c r="B41" s="161" t="s">
        <v>216</v>
      </c>
    </row>
    <row r="42" ht="12.75">
      <c r="J42" s="162"/>
    </row>
  </sheetData>
  <sheetProtection selectLockedCells="1" selectUnlockedCells="1"/>
  <mergeCells count="15">
    <mergeCell ref="A4:O4"/>
    <mergeCell ref="D6:E6"/>
    <mergeCell ref="F6:G6"/>
    <mergeCell ref="H6:I6"/>
    <mergeCell ref="J6:K6"/>
    <mergeCell ref="L6:M6"/>
    <mergeCell ref="N6:O6"/>
    <mergeCell ref="B14:B15"/>
    <mergeCell ref="D15:E15"/>
    <mergeCell ref="F15:G15"/>
    <mergeCell ref="H15:I15"/>
    <mergeCell ref="J15:K15"/>
    <mergeCell ref="L15:M15"/>
    <mergeCell ref="N15:O15"/>
    <mergeCell ref="A16:O16"/>
  </mergeCells>
  <printOptions/>
  <pageMargins left="0.1597222222222222" right="0.1798611111111111" top="0.22013888888888888" bottom="0.1798611111111111" header="0.22013888888888888" footer="0.5118055555555555"/>
  <pageSetup horizontalDpi="300" verticalDpi="300" orientation="landscape" paperSize="9" scale="91"/>
  <headerFooter alignWithMargins="0">
    <oddHeader>&amp;L&amp;"Arial,Félkövér dőlt"&amp;11Vámospércs Városi Önkormányzata&amp;R&amp;"Arial,Félkövér dőlt"&amp;11 3.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7:O20"/>
  <sheetViews>
    <sheetView workbookViewId="0" topLeftCell="B1">
      <selection activeCell="L19" sqref="L19"/>
    </sheetView>
  </sheetViews>
  <sheetFormatPr defaultColWidth="9.140625" defaultRowHeight="12.75"/>
  <cols>
    <col min="1" max="1" width="4.00390625" style="63" customWidth="1"/>
    <col min="2" max="2" width="34.421875" style="64" customWidth="1"/>
    <col min="3" max="3" width="6.57421875" style="66" customWidth="1"/>
    <col min="4" max="4" width="6.7109375" style="66" customWidth="1"/>
    <col min="5" max="5" width="2.421875" style="66" customWidth="1"/>
    <col min="6" max="6" width="8.00390625" style="66" customWidth="1"/>
    <col min="7" max="7" width="7.00390625" style="66" customWidth="1"/>
    <col min="8" max="9" width="6.8515625" style="66" customWidth="1"/>
    <col min="10" max="10" width="8.00390625" style="66" customWidth="1"/>
    <col min="11" max="11" width="7.00390625" style="66" customWidth="1"/>
    <col min="12" max="12" width="8.00390625" style="66" customWidth="1"/>
    <col min="13" max="13" width="7.00390625" style="66" customWidth="1"/>
    <col min="14" max="14" width="8.00390625" style="66" customWidth="1"/>
    <col min="15" max="15" width="7.00390625" style="66" customWidth="1"/>
  </cols>
  <sheetData>
    <row r="7" spans="1:15" ht="12.75">
      <c r="A7" s="67"/>
      <c r="B7" s="68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  <c r="N7" s="163"/>
      <c r="O7" s="164"/>
    </row>
    <row r="8" spans="1:15" ht="12.75">
      <c r="A8" s="71" t="s">
        <v>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2.75">
      <c r="A9" s="72"/>
      <c r="B9" s="73"/>
      <c r="C9" s="163"/>
      <c r="D9" s="163"/>
      <c r="E9" s="163"/>
      <c r="F9" s="165"/>
      <c r="G9" s="165"/>
      <c r="H9" s="165"/>
      <c r="I9" s="165"/>
      <c r="J9" s="165"/>
      <c r="K9" s="163"/>
      <c r="L9" s="163"/>
      <c r="M9" s="164"/>
      <c r="N9" s="163"/>
      <c r="O9" s="166" t="s">
        <v>169</v>
      </c>
    </row>
    <row r="10" spans="1:15" ht="36.75" customHeight="1">
      <c r="A10" s="76" t="s">
        <v>170</v>
      </c>
      <c r="B10" s="77" t="s">
        <v>171</v>
      </c>
      <c r="C10" s="167"/>
      <c r="D10" s="79" t="s">
        <v>172</v>
      </c>
      <c r="E10" s="79"/>
      <c r="F10" s="168" t="s">
        <v>173</v>
      </c>
      <c r="G10" s="168"/>
      <c r="H10" s="169" t="s">
        <v>174</v>
      </c>
      <c r="I10" s="169"/>
      <c r="J10" s="170" t="s">
        <v>175</v>
      </c>
      <c r="K10" s="170"/>
      <c r="L10" s="82" t="s">
        <v>176</v>
      </c>
      <c r="M10" s="82"/>
      <c r="N10" s="82" t="s">
        <v>177</v>
      </c>
      <c r="O10" s="82"/>
    </row>
    <row r="11" spans="1:15" ht="12.75">
      <c r="A11" s="83" t="s">
        <v>178</v>
      </c>
      <c r="B11" s="84"/>
      <c r="C11" s="171" t="s">
        <v>179</v>
      </c>
      <c r="D11" s="172" t="s">
        <v>217</v>
      </c>
      <c r="E11" s="172"/>
      <c r="F11" s="173" t="s">
        <v>180</v>
      </c>
      <c r="G11" s="86" t="s">
        <v>218</v>
      </c>
      <c r="H11" s="171" t="s">
        <v>180</v>
      </c>
      <c r="I11" s="86" t="s">
        <v>218</v>
      </c>
      <c r="J11" s="174" t="s">
        <v>219</v>
      </c>
      <c r="K11" s="86" t="s">
        <v>218</v>
      </c>
      <c r="L11" s="87" t="s">
        <v>182</v>
      </c>
      <c r="M11" s="86" t="s">
        <v>218</v>
      </c>
      <c r="N11" s="87" t="s">
        <v>182</v>
      </c>
      <c r="O11" s="86" t="s">
        <v>218</v>
      </c>
    </row>
    <row r="12" spans="1:15" ht="12.75">
      <c r="A12" s="88"/>
      <c r="B12" s="84" t="s">
        <v>183</v>
      </c>
      <c r="C12" s="175" t="s">
        <v>184</v>
      </c>
      <c r="D12" s="172"/>
      <c r="E12" s="172"/>
      <c r="F12" s="176" t="s">
        <v>185</v>
      </c>
      <c r="G12" s="176"/>
      <c r="H12" s="176" t="s">
        <v>185</v>
      </c>
      <c r="I12" s="176"/>
      <c r="J12" s="176" t="s">
        <v>220</v>
      </c>
      <c r="K12" s="176"/>
      <c r="L12" s="90" t="s">
        <v>186</v>
      </c>
      <c r="M12" s="90"/>
      <c r="N12" s="90" t="s">
        <v>186</v>
      </c>
      <c r="O12" s="90"/>
    </row>
    <row r="13" spans="1:15" ht="12.75">
      <c r="A13" s="140"/>
      <c r="B13" s="177" t="s">
        <v>221</v>
      </c>
      <c r="C13" s="178"/>
      <c r="D13" s="179"/>
      <c r="E13" s="179"/>
      <c r="F13" s="180"/>
      <c r="G13" s="181"/>
      <c r="H13" s="180"/>
      <c r="I13" s="182"/>
      <c r="J13" s="183"/>
      <c r="K13" s="183"/>
      <c r="L13" s="182"/>
      <c r="M13" s="182"/>
      <c r="N13" s="182"/>
      <c r="O13" s="184"/>
    </row>
    <row r="14" spans="1:15" ht="18" customHeight="1">
      <c r="A14" s="140"/>
      <c r="B14" s="151" t="s">
        <v>222</v>
      </c>
      <c r="C14" s="185">
        <v>2008</v>
      </c>
      <c r="D14" s="186">
        <v>10598</v>
      </c>
      <c r="E14" s="186"/>
      <c r="F14" s="187">
        <f>10598-6147</f>
        <v>4451</v>
      </c>
      <c r="G14" s="187">
        <v>6147</v>
      </c>
      <c r="H14" s="188"/>
      <c r="I14" s="187"/>
      <c r="J14" s="189">
        <f>F14-H14+G14</f>
        <v>10598</v>
      </c>
      <c r="K14" s="190">
        <v>6147</v>
      </c>
      <c r="L14" s="191">
        <v>10598</v>
      </c>
      <c r="M14" s="191">
        <v>6147</v>
      </c>
      <c r="N14" s="191">
        <v>10255</v>
      </c>
      <c r="O14" s="192">
        <v>6147</v>
      </c>
    </row>
    <row r="15" spans="1:15" ht="18" customHeight="1">
      <c r="A15" s="140"/>
      <c r="B15" s="151" t="s">
        <v>223</v>
      </c>
      <c r="C15" s="185">
        <v>2009</v>
      </c>
      <c r="D15" s="186">
        <v>40000</v>
      </c>
      <c r="E15" s="186"/>
      <c r="F15" s="187">
        <v>4000</v>
      </c>
      <c r="G15" s="187"/>
      <c r="H15" s="188"/>
      <c r="I15" s="187"/>
      <c r="J15" s="189">
        <f>F15-H15+G15</f>
        <v>4000</v>
      </c>
      <c r="K15" s="190"/>
      <c r="L15" s="191">
        <v>4000</v>
      </c>
      <c r="M15" s="191"/>
      <c r="N15" s="191"/>
      <c r="O15" s="192"/>
    </row>
    <row r="16" spans="1:15" ht="12.75">
      <c r="A16" s="140" t="s">
        <v>1</v>
      </c>
      <c r="B16" s="151" t="s">
        <v>224</v>
      </c>
      <c r="C16" s="185">
        <v>2008</v>
      </c>
      <c r="D16" s="186">
        <v>21277</v>
      </c>
      <c r="E16" s="186"/>
      <c r="F16" s="187">
        <v>1277</v>
      </c>
      <c r="G16" s="193"/>
      <c r="H16" s="194"/>
      <c r="I16" s="191"/>
      <c r="J16" s="189">
        <f>F16-H16+G16</f>
        <v>1277</v>
      </c>
      <c r="K16" s="190"/>
      <c r="L16" s="191">
        <v>1277</v>
      </c>
      <c r="M16" s="191"/>
      <c r="N16" s="191">
        <v>674</v>
      </c>
      <c r="O16" s="192"/>
    </row>
    <row r="17" spans="1:15" ht="12.75">
      <c r="A17" s="157"/>
      <c r="B17" s="195" t="s">
        <v>225</v>
      </c>
      <c r="C17" s="196"/>
      <c r="D17" s="197">
        <f>SUM(D14:E16)</f>
        <v>71875</v>
      </c>
      <c r="E17" s="197"/>
      <c r="F17" s="197">
        <f aca="true" t="shared" si="0" ref="F17:O17">SUM(F14:F16)</f>
        <v>9728</v>
      </c>
      <c r="G17" s="197">
        <f t="shared" si="0"/>
        <v>6147</v>
      </c>
      <c r="H17" s="197">
        <f t="shared" si="0"/>
        <v>0</v>
      </c>
      <c r="I17" s="197">
        <f t="shared" si="0"/>
        <v>0</v>
      </c>
      <c r="J17" s="197">
        <f t="shared" si="0"/>
        <v>15875</v>
      </c>
      <c r="K17" s="197">
        <f t="shared" si="0"/>
        <v>6147</v>
      </c>
      <c r="L17" s="197">
        <f t="shared" si="0"/>
        <v>15875</v>
      </c>
      <c r="M17" s="197">
        <f t="shared" si="0"/>
        <v>6147</v>
      </c>
      <c r="N17" s="197">
        <f t="shared" si="0"/>
        <v>10929</v>
      </c>
      <c r="O17" s="197">
        <f t="shared" si="0"/>
        <v>6147</v>
      </c>
    </row>
    <row r="19" ht="12.75">
      <c r="B19" s="161"/>
    </row>
    <row r="20" ht="12.75">
      <c r="J20" s="198"/>
    </row>
  </sheetData>
  <sheetProtection selectLockedCells="1" selectUnlockedCells="1"/>
  <mergeCells count="13">
    <mergeCell ref="A8:O8"/>
    <mergeCell ref="D10:E10"/>
    <mergeCell ref="F10:G10"/>
    <mergeCell ref="H10:I10"/>
    <mergeCell ref="J10:K10"/>
    <mergeCell ref="L10:M10"/>
    <mergeCell ref="N10:O10"/>
    <mergeCell ref="D11:E12"/>
    <mergeCell ref="D13:E13"/>
    <mergeCell ref="D14:E14"/>
    <mergeCell ref="D15:E15"/>
    <mergeCell ref="D16:E16"/>
    <mergeCell ref="D17:E17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&amp;L&amp;"Arial,Dőlt"Vámospércs Városi Önkormányzat&amp;R&amp;"Arial,Dőlt"4.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 topLeftCell="B5">
      <selection activeCell="S19" sqref="S19"/>
    </sheetView>
  </sheetViews>
  <sheetFormatPr defaultColWidth="8.00390625" defaultRowHeight="12.75"/>
  <cols>
    <col min="1" max="1" width="3.57421875" style="199" customWidth="1"/>
    <col min="2" max="2" width="24.140625" style="200" customWidth="1"/>
    <col min="3" max="3" width="6.57421875" style="201" customWidth="1"/>
    <col min="4" max="4" width="10.7109375" style="201" customWidth="1"/>
    <col min="5" max="5" width="7.140625" style="201" customWidth="1"/>
    <col min="6" max="6" width="8.421875" style="201" customWidth="1"/>
    <col min="7" max="7" width="9.28125" style="201" customWidth="1"/>
    <col min="8" max="8" width="7.8515625" style="201" customWidth="1"/>
    <col min="9" max="9" width="8.421875" style="201" customWidth="1"/>
    <col min="10" max="16" width="9.28125" style="201" customWidth="1"/>
    <col min="17" max="17" width="7.57421875" style="201" customWidth="1"/>
    <col min="18" max="18" width="8.421875" style="201" customWidth="1"/>
    <col min="19" max="19" width="9.28125" style="201" customWidth="1"/>
    <col min="20" max="16384" width="8.00390625" style="201" customWidth="1"/>
  </cols>
  <sheetData>
    <row r="1" spans="1:19" ht="34.5" customHeight="1">
      <c r="A1" s="202" t="s">
        <v>226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="203" customFormat="1" ht="26.25" customHeight="1"/>
    <row r="3" spans="1:19" ht="21" customHeight="1">
      <c r="A3" s="204"/>
      <c r="B3" s="205"/>
      <c r="C3" s="206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/>
      <c r="S3" s="208" t="s">
        <v>169</v>
      </c>
    </row>
    <row r="4" spans="1:19" s="216" customFormat="1" ht="15.75" customHeight="1">
      <c r="A4" s="209" t="s">
        <v>170</v>
      </c>
      <c r="B4" s="210" t="s">
        <v>227</v>
      </c>
      <c r="C4" s="211"/>
      <c r="D4" s="212" t="s">
        <v>228</v>
      </c>
      <c r="E4" s="213" t="s">
        <v>229</v>
      </c>
      <c r="F4" s="213"/>
      <c r="G4" s="213"/>
      <c r="H4" s="214" t="s">
        <v>230</v>
      </c>
      <c r="I4" s="214"/>
      <c r="J4" s="214"/>
      <c r="K4" s="215" t="s">
        <v>175</v>
      </c>
      <c r="L4" s="215"/>
      <c r="M4" s="215"/>
      <c r="N4" s="215" t="s">
        <v>176</v>
      </c>
      <c r="O4" s="215"/>
      <c r="P4" s="215"/>
      <c r="Q4" s="215" t="s">
        <v>177</v>
      </c>
      <c r="R4" s="215"/>
      <c r="S4" s="215"/>
    </row>
    <row r="5" spans="1:19" s="216" customFormat="1" ht="12.75">
      <c r="A5" s="217" t="s">
        <v>178</v>
      </c>
      <c r="B5" s="210"/>
      <c r="C5" s="218" t="s">
        <v>179</v>
      </c>
      <c r="D5" s="212"/>
      <c r="E5" s="219" t="s">
        <v>180</v>
      </c>
      <c r="F5" s="220" t="s">
        <v>231</v>
      </c>
      <c r="G5" s="220"/>
      <c r="H5" s="218" t="s">
        <v>180</v>
      </c>
      <c r="I5" s="220" t="s">
        <v>181</v>
      </c>
      <c r="J5" s="220"/>
      <c r="K5" s="221" t="s">
        <v>180</v>
      </c>
      <c r="L5" s="222" t="s">
        <v>181</v>
      </c>
      <c r="M5" s="222"/>
      <c r="N5" s="221" t="s">
        <v>180</v>
      </c>
      <c r="O5" s="222" t="s">
        <v>181</v>
      </c>
      <c r="P5" s="222"/>
      <c r="Q5" s="221" t="s">
        <v>180</v>
      </c>
      <c r="R5" s="222" t="s">
        <v>181</v>
      </c>
      <c r="S5" s="222"/>
    </row>
    <row r="6" spans="1:19" s="216" customFormat="1" ht="24.75" customHeight="1">
      <c r="A6" s="223"/>
      <c r="B6" s="210"/>
      <c r="C6" s="224" t="s">
        <v>184</v>
      </c>
      <c r="D6" s="212"/>
      <c r="E6" s="225" t="s">
        <v>185</v>
      </c>
      <c r="F6" s="225" t="s">
        <v>232</v>
      </c>
      <c r="G6" s="226" t="s">
        <v>233</v>
      </c>
      <c r="H6" s="225" t="s">
        <v>185</v>
      </c>
      <c r="I6" s="225" t="s">
        <v>232</v>
      </c>
      <c r="J6" s="226" t="s">
        <v>233</v>
      </c>
      <c r="K6" s="225" t="s">
        <v>185</v>
      </c>
      <c r="L6" s="225" t="s">
        <v>232</v>
      </c>
      <c r="M6" s="227" t="s">
        <v>233</v>
      </c>
      <c r="N6" s="225" t="s">
        <v>185</v>
      </c>
      <c r="O6" s="225" t="s">
        <v>232</v>
      </c>
      <c r="P6" s="227" t="s">
        <v>233</v>
      </c>
      <c r="Q6" s="225" t="s">
        <v>185</v>
      </c>
      <c r="R6" s="225" t="s">
        <v>232</v>
      </c>
      <c r="S6" s="227" t="s">
        <v>233</v>
      </c>
    </row>
    <row r="7" spans="1:19" ht="20.25" customHeight="1" hidden="1">
      <c r="A7" s="228" t="s">
        <v>51</v>
      </c>
      <c r="B7" s="229" t="s">
        <v>187</v>
      </c>
      <c r="C7" s="230"/>
      <c r="D7" s="231"/>
      <c r="E7" s="231"/>
      <c r="F7" s="225" t="s">
        <v>232</v>
      </c>
      <c r="G7" s="225" t="s">
        <v>233</v>
      </c>
      <c r="H7" s="231"/>
      <c r="I7" s="232"/>
      <c r="J7" s="232"/>
      <c r="K7" s="232"/>
      <c r="L7" s="232"/>
      <c r="M7" s="232"/>
      <c r="N7" s="232"/>
      <c r="O7" s="232"/>
      <c r="P7" s="232"/>
      <c r="Q7" s="233"/>
      <c r="R7" s="233"/>
      <c r="S7" s="233"/>
    </row>
    <row r="8" spans="1:19" s="241" customFormat="1" ht="27" customHeight="1" hidden="1">
      <c r="A8" s="234" t="s">
        <v>1</v>
      </c>
      <c r="B8" s="235" t="s">
        <v>188</v>
      </c>
      <c r="C8" s="236"/>
      <c r="D8" s="237"/>
      <c r="E8" s="237"/>
      <c r="F8" s="238"/>
      <c r="G8" s="238"/>
      <c r="H8" s="237"/>
      <c r="I8" s="239"/>
      <c r="J8" s="239"/>
      <c r="K8" s="239"/>
      <c r="L8" s="239"/>
      <c r="M8" s="239"/>
      <c r="N8" s="239"/>
      <c r="O8" s="239"/>
      <c r="P8" s="239"/>
      <c r="Q8" s="240"/>
      <c r="R8" s="240"/>
      <c r="S8" s="240"/>
    </row>
    <row r="9" spans="1:19" ht="25.5" customHeight="1" hidden="1">
      <c r="A9" s="242"/>
      <c r="B9" s="243" t="s">
        <v>189</v>
      </c>
      <c r="C9" s="238">
        <v>2009</v>
      </c>
      <c r="D9" s="244"/>
      <c r="E9" s="245">
        <v>1515</v>
      </c>
      <c r="F9" s="246"/>
      <c r="G9" s="246"/>
      <c r="H9" s="245"/>
      <c r="I9" s="247"/>
      <c r="J9" s="247"/>
      <c r="K9" s="247"/>
      <c r="L9" s="247"/>
      <c r="M9" s="247"/>
      <c r="N9" s="247"/>
      <c r="O9" s="247"/>
      <c r="P9" s="247"/>
      <c r="Q9" s="248">
        <v>1515</v>
      </c>
      <c r="R9" s="248"/>
      <c r="S9" s="248"/>
    </row>
    <row r="10" spans="1:19" s="241" customFormat="1" ht="15" customHeight="1" hidden="1">
      <c r="A10" s="234" t="s">
        <v>3</v>
      </c>
      <c r="B10" s="235" t="s">
        <v>190</v>
      </c>
      <c r="C10" s="236"/>
      <c r="D10" s="249"/>
      <c r="E10" s="237"/>
      <c r="F10" s="238"/>
      <c r="G10" s="238"/>
      <c r="H10" s="237"/>
      <c r="I10" s="239"/>
      <c r="J10" s="239"/>
      <c r="K10" s="239"/>
      <c r="L10" s="239"/>
      <c r="M10" s="239"/>
      <c r="N10" s="239"/>
      <c r="O10" s="239"/>
      <c r="P10" s="239"/>
      <c r="Q10" s="240"/>
      <c r="R10" s="240"/>
      <c r="S10" s="240"/>
    </row>
    <row r="11" spans="1:19" s="241" customFormat="1" ht="17.25" customHeight="1" hidden="1">
      <c r="A11" s="250"/>
      <c r="B11" s="251" t="s">
        <v>191</v>
      </c>
      <c r="C11" s="252">
        <v>2009</v>
      </c>
      <c r="D11" s="253"/>
      <c r="E11" s="245">
        <v>15000</v>
      </c>
      <c r="F11" s="238"/>
      <c r="G11" s="238"/>
      <c r="H11" s="237"/>
      <c r="I11" s="239"/>
      <c r="J11" s="239"/>
      <c r="K11" s="239"/>
      <c r="L11" s="239"/>
      <c r="M11" s="239"/>
      <c r="N11" s="239"/>
      <c r="O11" s="239"/>
      <c r="P11" s="239"/>
      <c r="Q11" s="248">
        <v>15000</v>
      </c>
      <c r="R11" s="240"/>
      <c r="S11" s="240"/>
    </row>
    <row r="12" spans="1:19" ht="16.5" customHeight="1" hidden="1">
      <c r="A12" s="254"/>
      <c r="B12" s="255" t="s">
        <v>192</v>
      </c>
      <c r="C12" s="256"/>
      <c r="D12" s="257">
        <f>SUM(D7:D11)</f>
        <v>0</v>
      </c>
      <c r="E12" s="258">
        <f>SUM(E8:E11)</f>
        <v>16515</v>
      </c>
      <c r="F12" s="258">
        <v>0</v>
      </c>
      <c r="G12" s="258"/>
      <c r="H12" s="258">
        <v>0</v>
      </c>
      <c r="I12" s="258">
        <v>0</v>
      </c>
      <c r="J12" s="258"/>
      <c r="K12" s="258"/>
      <c r="L12" s="258"/>
      <c r="M12" s="258"/>
      <c r="N12" s="258"/>
      <c r="O12" s="258"/>
      <c r="P12" s="258"/>
      <c r="Q12" s="258">
        <f>SUM(Q9:Q11)</f>
        <v>16515</v>
      </c>
      <c r="R12" s="258">
        <v>0</v>
      </c>
      <c r="S12" s="258"/>
    </row>
    <row r="13" spans="1:19" ht="16.5" customHeight="1" hidden="1">
      <c r="A13" s="259"/>
      <c r="B13" s="255"/>
      <c r="C13" s="260"/>
      <c r="D13" s="261" t="e">
        <f>D12+#REF!</f>
        <v>#VALUE!</v>
      </c>
      <c r="E13" s="262">
        <f>E12+F12</f>
        <v>16515</v>
      </c>
      <c r="F13" s="262"/>
      <c r="G13" s="262"/>
      <c r="H13" s="262">
        <f>H12+I12</f>
        <v>0</v>
      </c>
      <c r="I13" s="262"/>
      <c r="J13" s="262"/>
      <c r="K13" s="262"/>
      <c r="L13" s="262"/>
      <c r="M13" s="262"/>
      <c r="N13" s="262"/>
      <c r="O13" s="262"/>
      <c r="P13" s="262"/>
      <c r="Q13" s="262">
        <f>Q12+R12</f>
        <v>16515</v>
      </c>
      <c r="R13" s="262"/>
      <c r="S13" s="262"/>
    </row>
    <row r="14" spans="1:19" s="266" customFormat="1" ht="46.5" customHeight="1">
      <c r="A14" s="263" t="s">
        <v>1</v>
      </c>
      <c r="B14" s="264" t="s">
        <v>205</v>
      </c>
      <c r="C14" s="185">
        <v>2008</v>
      </c>
      <c r="D14" s="186">
        <v>21000</v>
      </c>
      <c r="E14" s="265">
        <v>1050</v>
      </c>
      <c r="F14" s="265"/>
      <c r="G14" s="265"/>
      <c r="H14" s="265"/>
      <c r="I14" s="265"/>
      <c r="J14" s="265"/>
      <c r="K14" s="265">
        <v>1050</v>
      </c>
      <c r="L14" s="265"/>
      <c r="M14" s="265"/>
      <c r="N14" s="265">
        <v>1050</v>
      </c>
      <c r="O14" s="265"/>
      <c r="P14" s="265"/>
      <c r="Q14" s="265">
        <v>360</v>
      </c>
      <c r="R14" s="265"/>
      <c r="S14" s="265"/>
    </row>
    <row r="15" spans="1:19" s="266" customFormat="1" ht="46.5" customHeight="1">
      <c r="A15" s="263" t="s">
        <v>3</v>
      </c>
      <c r="B15" s="267" t="s">
        <v>206</v>
      </c>
      <c r="C15" s="185">
        <v>2008</v>
      </c>
      <c r="D15" s="186">
        <v>195600</v>
      </c>
      <c r="E15" s="265">
        <v>95600</v>
      </c>
      <c r="F15" s="265"/>
      <c r="G15" s="265"/>
      <c r="H15" s="265"/>
      <c r="I15" s="265"/>
      <c r="J15" s="265"/>
      <c r="K15" s="265">
        <v>95600</v>
      </c>
      <c r="L15" s="265"/>
      <c r="M15" s="265"/>
      <c r="N15" s="265">
        <v>16679</v>
      </c>
      <c r="O15" s="265"/>
      <c r="P15" s="265"/>
      <c r="Q15" s="265"/>
      <c r="R15" s="265"/>
      <c r="S15" s="265"/>
    </row>
    <row r="16" spans="1:19" s="266" customFormat="1" ht="46.5" customHeight="1">
      <c r="A16" s="263" t="s">
        <v>5</v>
      </c>
      <c r="B16" s="268" t="s">
        <v>207</v>
      </c>
      <c r="C16" s="185">
        <v>2008</v>
      </c>
      <c r="D16" s="269">
        <v>63249</v>
      </c>
      <c r="E16" s="265">
        <v>9487</v>
      </c>
      <c r="F16" s="265"/>
      <c r="G16" s="265"/>
      <c r="H16" s="265"/>
      <c r="I16" s="265"/>
      <c r="J16" s="265"/>
      <c r="K16" s="265">
        <v>9487</v>
      </c>
      <c r="L16" s="265"/>
      <c r="M16" s="265"/>
      <c r="N16" s="265">
        <v>9487</v>
      </c>
      <c r="O16" s="265"/>
      <c r="P16" s="265"/>
      <c r="Q16" s="265"/>
      <c r="R16" s="265"/>
      <c r="S16" s="265"/>
    </row>
    <row r="17" spans="1:19" s="266" customFormat="1" ht="46.5" customHeight="1">
      <c r="A17" s="263" t="s">
        <v>7</v>
      </c>
      <c r="B17" s="264" t="s">
        <v>234</v>
      </c>
      <c r="C17" s="185">
        <v>2008</v>
      </c>
      <c r="D17" s="186">
        <v>56107</v>
      </c>
      <c r="E17" s="265">
        <v>7078</v>
      </c>
      <c r="F17" s="265">
        <v>49029</v>
      </c>
      <c r="G17" s="265"/>
      <c r="H17" s="265"/>
      <c r="I17" s="265"/>
      <c r="J17" s="265"/>
      <c r="K17" s="265">
        <v>56107</v>
      </c>
      <c r="L17" s="265">
        <v>49029</v>
      </c>
      <c r="M17" s="265"/>
      <c r="N17" s="265">
        <v>56107</v>
      </c>
      <c r="O17" s="265">
        <v>49029</v>
      </c>
      <c r="P17" s="265"/>
      <c r="Q17" s="265">
        <v>4583</v>
      </c>
      <c r="R17" s="265"/>
      <c r="S17" s="265"/>
    </row>
    <row r="18" spans="1:19" s="266" customFormat="1" ht="46.5" customHeight="1">
      <c r="A18" s="263" t="s">
        <v>9</v>
      </c>
      <c r="B18" s="264" t="s">
        <v>235</v>
      </c>
      <c r="C18" s="185">
        <v>2008</v>
      </c>
      <c r="D18" s="186">
        <v>1052000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>
        <v>19319</v>
      </c>
      <c r="O18" s="265">
        <v>18823</v>
      </c>
      <c r="P18" s="265"/>
      <c r="Q18" s="265">
        <v>19319</v>
      </c>
      <c r="R18" s="265"/>
      <c r="S18" s="265"/>
    </row>
    <row r="19" spans="1:19" s="266" customFormat="1" ht="46.5" customHeight="1">
      <c r="A19" s="263" t="s">
        <v>11</v>
      </c>
      <c r="B19" s="270" t="s">
        <v>236</v>
      </c>
      <c r="C19" s="271" t="s">
        <v>196</v>
      </c>
      <c r="D19" s="272">
        <v>11680</v>
      </c>
      <c r="E19" s="273"/>
      <c r="F19" s="273">
        <v>11680</v>
      </c>
      <c r="G19" s="273"/>
      <c r="H19" s="273"/>
      <c r="I19" s="273"/>
      <c r="J19" s="273"/>
      <c r="K19" s="273">
        <v>0</v>
      </c>
      <c r="L19" s="273"/>
      <c r="M19" s="273"/>
      <c r="N19" s="273"/>
      <c r="O19" s="273"/>
      <c r="P19" s="273"/>
      <c r="Q19" s="273"/>
      <c r="R19" s="273">
        <v>4088</v>
      </c>
      <c r="S19" s="274"/>
    </row>
    <row r="20" spans="1:19" s="266" customFormat="1" ht="46.5" customHeight="1">
      <c r="A20" s="263" t="s">
        <v>13</v>
      </c>
      <c r="B20" s="270" t="s">
        <v>237</v>
      </c>
      <c r="C20" s="271" t="s">
        <v>196</v>
      </c>
      <c r="D20" s="272">
        <v>7573</v>
      </c>
      <c r="E20" s="273"/>
      <c r="F20" s="273">
        <v>7573</v>
      </c>
      <c r="G20" s="273"/>
      <c r="H20" s="273"/>
      <c r="I20" s="273"/>
      <c r="J20" s="273"/>
      <c r="K20" s="273">
        <v>0</v>
      </c>
      <c r="L20" s="273"/>
      <c r="M20" s="273"/>
      <c r="N20" s="273"/>
      <c r="O20" s="273"/>
      <c r="P20" s="273"/>
      <c r="Q20" s="273">
        <v>319</v>
      </c>
      <c r="R20" s="273">
        <v>2650</v>
      </c>
      <c r="S20" s="265"/>
    </row>
    <row r="21" spans="1:19" s="241" customFormat="1" ht="17.25" customHeight="1">
      <c r="A21" s="275"/>
      <c r="B21" s="276" t="s">
        <v>238</v>
      </c>
      <c r="C21" s="276"/>
      <c r="D21" s="277">
        <f>SUM(D14:D20)</f>
        <v>1407209</v>
      </c>
      <c r="E21" s="277">
        <f aca="true" t="shared" si="0" ref="E21:J21">SUM(E14:E18)</f>
        <v>113215</v>
      </c>
      <c r="F21" s="277">
        <f t="shared" si="0"/>
        <v>49029</v>
      </c>
      <c r="G21" s="277">
        <f t="shared" si="0"/>
        <v>0</v>
      </c>
      <c r="H21" s="277">
        <f t="shared" si="0"/>
        <v>0</v>
      </c>
      <c r="I21" s="277">
        <f t="shared" si="0"/>
        <v>0</v>
      </c>
      <c r="J21" s="277">
        <f t="shared" si="0"/>
        <v>0</v>
      </c>
      <c r="K21" s="277">
        <f aca="true" t="shared" si="1" ref="K21:P21">SUM(K14:K20)</f>
        <v>162244</v>
      </c>
      <c r="L21" s="277">
        <f t="shared" si="1"/>
        <v>49029</v>
      </c>
      <c r="M21" s="277">
        <f t="shared" si="1"/>
        <v>0</v>
      </c>
      <c r="N21" s="277">
        <f t="shared" si="1"/>
        <v>102642</v>
      </c>
      <c r="O21" s="277">
        <f t="shared" si="1"/>
        <v>67852</v>
      </c>
      <c r="P21" s="277">
        <f t="shared" si="1"/>
        <v>0</v>
      </c>
      <c r="Q21" s="277">
        <f>SUM(Q14:Q20)</f>
        <v>24581</v>
      </c>
      <c r="R21" s="277">
        <f>SUM(R14:R20)</f>
        <v>6738</v>
      </c>
      <c r="S21" s="277">
        <f>SUM(S14:S20)</f>
        <v>0</v>
      </c>
    </row>
    <row r="23" ht="12.75">
      <c r="G23" s="278"/>
    </row>
  </sheetData>
  <sheetProtection selectLockedCells="1" selectUnlockedCells="1"/>
  <mergeCells count="18">
    <mergeCell ref="A1:S1"/>
    <mergeCell ref="B4:B6"/>
    <mergeCell ref="D4:D6"/>
    <mergeCell ref="E4:G4"/>
    <mergeCell ref="H4:J4"/>
    <mergeCell ref="K4:M4"/>
    <mergeCell ref="N4:P4"/>
    <mergeCell ref="Q4:S4"/>
    <mergeCell ref="F5:G5"/>
    <mergeCell ref="I5:J5"/>
    <mergeCell ref="L5:M5"/>
    <mergeCell ref="O5:P5"/>
    <mergeCell ref="R5:S5"/>
    <mergeCell ref="B12:B13"/>
    <mergeCell ref="E13:G13"/>
    <mergeCell ref="H13:P13"/>
    <mergeCell ref="Q13:S13"/>
    <mergeCell ref="B21:C21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/>
  <headerFooter alignWithMargins="0">
    <oddHeader>&amp;L&amp;"Arial,Félkövér dőlt"&amp;11Vámospércs Város Önkormányzata&amp;R&amp;"Arial,Félkövér dőlt"&amp;11 5.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2"/>
  <sheetViews>
    <sheetView workbookViewId="0" topLeftCell="A1">
      <selection activeCell="A2" sqref="A2"/>
    </sheetView>
  </sheetViews>
  <sheetFormatPr defaultColWidth="9.140625" defaultRowHeight="12.75"/>
  <cols>
    <col min="1" max="1" width="30.00390625" style="279" customWidth="1"/>
    <col min="2" max="2" width="10.140625" style="280" customWidth="1"/>
    <col min="3" max="3" width="8.28125" style="22" customWidth="1"/>
    <col min="4" max="4" width="11.00390625" style="22" customWidth="1"/>
    <col min="5" max="5" width="8.28125" style="22" customWidth="1"/>
    <col min="6" max="6" width="11.00390625" style="22" customWidth="1"/>
    <col min="7" max="7" width="8.28125" style="22" customWidth="1"/>
    <col min="8" max="8" width="11.00390625" style="22" customWidth="1"/>
    <col min="9" max="9" width="8.28125" style="22" customWidth="1"/>
    <col min="10" max="10" width="11.00390625" style="22" customWidth="1"/>
    <col min="11" max="11" width="12.57421875" style="22" customWidth="1"/>
    <col min="12" max="12" width="11.00390625" style="22" customWidth="1"/>
    <col min="13" max="13" width="8.28125" style="22" customWidth="1"/>
    <col min="14" max="14" width="11.00390625" style="22" customWidth="1"/>
  </cols>
  <sheetData>
    <row r="1" spans="1:50" ht="12.75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3"/>
      <c r="AS1" s="283"/>
      <c r="AT1" s="283"/>
      <c r="AU1" s="283"/>
      <c r="AV1" s="283"/>
      <c r="AW1" s="283"/>
      <c r="AX1" s="283"/>
    </row>
    <row r="2" spans="1:47" ht="21.75" customHeight="1">
      <c r="A2" s="284" t="s">
        <v>239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3"/>
      <c r="AR2" s="283"/>
      <c r="AS2" s="283"/>
      <c r="AT2" s="283"/>
      <c r="AU2" s="283"/>
    </row>
    <row r="3" spans="1:14" ht="12.7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8.75" customHeight="1">
      <c r="A4" s="287" t="s">
        <v>240</v>
      </c>
      <c r="B4" s="287"/>
      <c r="C4" s="288" t="s">
        <v>241</v>
      </c>
      <c r="D4" s="288"/>
      <c r="E4" s="289" t="s">
        <v>242</v>
      </c>
      <c r="F4" s="289"/>
      <c r="G4" s="289"/>
      <c r="H4" s="289"/>
      <c r="I4" s="289"/>
      <c r="J4" s="289"/>
      <c r="K4" s="290" t="s">
        <v>243</v>
      </c>
      <c r="L4" s="290"/>
      <c r="M4" s="291" t="s">
        <v>244</v>
      </c>
      <c r="N4" s="291"/>
    </row>
    <row r="5" spans="1:14" ht="18" customHeight="1">
      <c r="A5" s="287"/>
      <c r="B5" s="287"/>
      <c r="C5" s="288"/>
      <c r="D5" s="288"/>
      <c r="E5" s="292" t="s">
        <v>245</v>
      </c>
      <c r="F5" s="292"/>
      <c r="G5" s="293" t="s">
        <v>246</v>
      </c>
      <c r="H5" s="293"/>
      <c r="I5" s="294" t="s">
        <v>247</v>
      </c>
      <c r="J5" s="294"/>
      <c r="K5" s="290"/>
      <c r="L5" s="290"/>
      <c r="M5" s="291"/>
      <c r="N5" s="291"/>
    </row>
    <row r="6" spans="1:14" ht="12.75">
      <c r="A6" s="287"/>
      <c r="B6" s="287"/>
      <c r="C6" s="295" t="s">
        <v>248</v>
      </c>
      <c r="D6" s="296" t="s">
        <v>249</v>
      </c>
      <c r="E6" s="295" t="s">
        <v>248</v>
      </c>
      <c r="F6" s="296" t="s">
        <v>249</v>
      </c>
      <c r="G6" s="295" t="s">
        <v>248</v>
      </c>
      <c r="H6" s="296" t="s">
        <v>249</v>
      </c>
      <c r="I6" s="295" t="s">
        <v>248</v>
      </c>
      <c r="J6" s="296" t="s">
        <v>249</v>
      </c>
      <c r="K6" s="295" t="s">
        <v>248</v>
      </c>
      <c r="L6" s="296" t="s">
        <v>249</v>
      </c>
      <c r="M6" s="295" t="s">
        <v>248</v>
      </c>
      <c r="N6" s="296" t="s">
        <v>249</v>
      </c>
    </row>
    <row r="7" spans="1:14" ht="12.75">
      <c r="A7" s="297" t="s">
        <v>1</v>
      </c>
      <c r="B7" s="297"/>
      <c r="C7" s="298" t="s">
        <v>3</v>
      </c>
      <c r="D7" s="298" t="s">
        <v>5</v>
      </c>
      <c r="E7" s="298" t="s">
        <v>7</v>
      </c>
      <c r="F7" s="298" t="s">
        <v>9</v>
      </c>
      <c r="G7" s="298" t="s">
        <v>11</v>
      </c>
      <c r="H7" s="298" t="s">
        <v>13</v>
      </c>
      <c r="I7" s="298" t="s">
        <v>15</v>
      </c>
      <c r="J7" s="298" t="s">
        <v>17</v>
      </c>
      <c r="K7" s="298" t="s">
        <v>19</v>
      </c>
      <c r="L7" s="298" t="s">
        <v>21</v>
      </c>
      <c r="M7" s="298" t="s">
        <v>23</v>
      </c>
      <c r="N7" s="298" t="s">
        <v>25</v>
      </c>
    </row>
    <row r="8" spans="1:14" ht="12.75">
      <c r="A8" s="299" t="s">
        <v>250</v>
      </c>
      <c r="B8" s="300">
        <v>1010001</v>
      </c>
      <c r="C8" s="36">
        <v>5582</v>
      </c>
      <c r="D8" s="36">
        <v>5900174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5582</v>
      </c>
      <c r="L8" s="36">
        <v>5900174</v>
      </c>
      <c r="M8" s="36">
        <f aca="true" t="shared" si="0" ref="M8:N67">K8-(C8+E8+G8+I8)</f>
        <v>0</v>
      </c>
      <c r="N8" s="36">
        <f>L8-(D8+F8+H8+J8)</f>
        <v>0</v>
      </c>
    </row>
    <row r="9" spans="1:14" ht="12.75">
      <c r="A9" s="299" t="s">
        <v>251</v>
      </c>
      <c r="B9" s="300">
        <v>1010004</v>
      </c>
      <c r="C9" s="36">
        <v>5582</v>
      </c>
      <c r="D9" s="36">
        <v>2874730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5582</v>
      </c>
      <c r="L9" s="36">
        <v>2874730</v>
      </c>
      <c r="M9" s="36">
        <f t="shared" si="0"/>
        <v>0</v>
      </c>
      <c r="N9" s="36">
        <f t="shared" si="0"/>
        <v>0</v>
      </c>
    </row>
    <row r="10" spans="1:14" ht="12.75">
      <c r="A10" s="299" t="s">
        <v>252</v>
      </c>
      <c r="B10" s="300">
        <v>1010005</v>
      </c>
      <c r="C10" s="36">
        <v>5582</v>
      </c>
      <c r="D10" s="36">
        <v>2791000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5582</v>
      </c>
      <c r="L10" s="36">
        <v>2791000</v>
      </c>
      <c r="M10" s="36">
        <f t="shared" si="0"/>
        <v>0</v>
      </c>
      <c r="N10" s="36">
        <f t="shared" si="0"/>
        <v>0</v>
      </c>
    </row>
    <row r="11" spans="1:14" ht="12.75">
      <c r="A11" s="299" t="s">
        <v>253</v>
      </c>
      <c r="B11" s="300">
        <v>1020001</v>
      </c>
      <c r="C11" s="36">
        <v>1</v>
      </c>
      <c r="D11" s="36">
        <v>3300000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1</v>
      </c>
      <c r="L11" s="36">
        <v>3300000</v>
      </c>
      <c r="M11" s="36">
        <f t="shared" si="0"/>
        <v>0</v>
      </c>
      <c r="N11" s="36">
        <f t="shared" si="0"/>
        <v>0</v>
      </c>
    </row>
    <row r="12" spans="1:14" ht="12.75">
      <c r="A12" s="299" t="s">
        <v>254</v>
      </c>
      <c r="B12" s="300">
        <v>1020002</v>
      </c>
      <c r="C12" s="36">
        <v>17580</v>
      </c>
      <c r="D12" s="36">
        <v>5695920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17580</v>
      </c>
      <c r="L12" s="36">
        <v>5695920</v>
      </c>
      <c r="M12" s="36">
        <f t="shared" si="0"/>
        <v>0</v>
      </c>
      <c r="N12" s="36">
        <f t="shared" si="0"/>
        <v>0</v>
      </c>
    </row>
    <row r="13" spans="1:14" ht="12.75">
      <c r="A13" s="299" t="s">
        <v>255</v>
      </c>
      <c r="B13" s="300">
        <v>1020003</v>
      </c>
      <c r="C13" s="36">
        <v>18795</v>
      </c>
      <c r="D13" s="36">
        <v>5074650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18795</v>
      </c>
      <c r="L13" s="36">
        <v>5074650</v>
      </c>
      <c r="M13" s="36">
        <f t="shared" si="0"/>
        <v>0</v>
      </c>
      <c r="N13" s="36">
        <f t="shared" si="0"/>
        <v>0</v>
      </c>
    </row>
    <row r="14" spans="1:14" ht="12.75">
      <c r="A14" s="299" t="s">
        <v>256</v>
      </c>
      <c r="B14" s="300">
        <v>1020004</v>
      </c>
      <c r="C14" s="36">
        <v>18795</v>
      </c>
      <c r="D14" s="36">
        <v>1315650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18795</v>
      </c>
      <c r="L14" s="36">
        <v>1315650</v>
      </c>
      <c r="M14" s="36">
        <f t="shared" si="0"/>
        <v>0</v>
      </c>
      <c r="N14" s="36">
        <f t="shared" si="0"/>
        <v>0</v>
      </c>
    </row>
    <row r="15" spans="1:14" ht="12.75">
      <c r="A15" s="299" t="s">
        <v>256</v>
      </c>
      <c r="B15" s="300">
        <v>1020005</v>
      </c>
      <c r="C15" s="36">
        <v>426</v>
      </c>
      <c r="D15" s="36">
        <v>3295962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426</v>
      </c>
      <c r="L15" s="36">
        <v>3295962</v>
      </c>
      <c r="M15" s="36">
        <f t="shared" si="0"/>
        <v>0</v>
      </c>
      <c r="N15" s="36">
        <f t="shared" si="0"/>
        <v>0</v>
      </c>
    </row>
    <row r="16" spans="1:14" ht="12.75">
      <c r="A16" s="299" t="s">
        <v>257</v>
      </c>
      <c r="B16" s="300">
        <v>1050001</v>
      </c>
      <c r="C16" s="36">
        <v>363</v>
      </c>
      <c r="D16" s="36">
        <v>1120944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363</v>
      </c>
      <c r="L16" s="36">
        <v>1120944</v>
      </c>
      <c r="M16" s="36">
        <f t="shared" si="0"/>
        <v>0</v>
      </c>
      <c r="N16" s="36">
        <f t="shared" si="0"/>
        <v>0</v>
      </c>
    </row>
    <row r="17" spans="1:14" ht="12.75">
      <c r="A17" s="299" t="s">
        <v>258</v>
      </c>
      <c r="B17" s="300">
        <v>1070002</v>
      </c>
      <c r="C17" s="36">
        <v>5582</v>
      </c>
      <c r="D17" s="36">
        <v>14010820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5582</v>
      </c>
      <c r="L17" s="36">
        <v>14010820</v>
      </c>
      <c r="M17" s="36">
        <f t="shared" si="0"/>
        <v>0</v>
      </c>
      <c r="N17" s="36">
        <f t="shared" si="0"/>
        <v>0</v>
      </c>
    </row>
    <row r="18" spans="1:14" ht="12.75">
      <c r="A18" s="299" t="s">
        <v>259</v>
      </c>
      <c r="B18" s="300">
        <v>1090001</v>
      </c>
      <c r="C18" s="36">
        <v>5582</v>
      </c>
      <c r="D18" s="36">
        <v>5922502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5582</v>
      </c>
      <c r="L18" s="36">
        <v>5922502</v>
      </c>
      <c r="M18" s="36">
        <f t="shared" si="0"/>
        <v>0</v>
      </c>
      <c r="N18" s="36">
        <f t="shared" si="0"/>
        <v>0</v>
      </c>
    </row>
    <row r="19" spans="1:14" ht="12.75">
      <c r="A19" s="299" t="s">
        <v>260</v>
      </c>
      <c r="B19" s="300">
        <v>1100001</v>
      </c>
      <c r="C19" s="36">
        <v>0</v>
      </c>
      <c r="D19" s="36">
        <v>62736098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62736098</v>
      </c>
      <c r="M19" s="36">
        <f t="shared" si="0"/>
        <v>0</v>
      </c>
      <c r="N19" s="36">
        <f t="shared" si="0"/>
        <v>0</v>
      </c>
    </row>
    <row r="20" spans="1:14" ht="12.75">
      <c r="A20" s="299" t="s">
        <v>261</v>
      </c>
      <c r="B20" s="300">
        <v>1110103</v>
      </c>
      <c r="C20" s="36">
        <v>25704</v>
      </c>
      <c r="D20" s="36">
        <v>5076540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25704</v>
      </c>
      <c r="L20" s="36">
        <v>5076540</v>
      </c>
      <c r="M20" s="36">
        <f t="shared" si="0"/>
        <v>0</v>
      </c>
      <c r="N20" s="36">
        <f t="shared" si="0"/>
        <v>0</v>
      </c>
    </row>
    <row r="21" spans="1:14" ht="12.75">
      <c r="A21" s="299" t="s">
        <v>262</v>
      </c>
      <c r="B21" s="300">
        <v>1110104</v>
      </c>
      <c r="C21" s="36">
        <v>25704</v>
      </c>
      <c r="D21" s="36">
        <v>5076540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25704</v>
      </c>
      <c r="L21" s="36">
        <v>5076540</v>
      </c>
      <c r="M21" s="36">
        <f t="shared" si="0"/>
        <v>0</v>
      </c>
      <c r="N21" s="36">
        <f t="shared" si="0"/>
        <v>0</v>
      </c>
    </row>
    <row r="22" spans="1:14" ht="12.75">
      <c r="A22" s="299" t="s">
        <v>263</v>
      </c>
      <c r="B22" s="300">
        <v>1110301</v>
      </c>
      <c r="C22" s="36">
        <v>40</v>
      </c>
      <c r="D22" s="36">
        <v>3642000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58">
        <v>36</v>
      </c>
      <c r="L22" s="36">
        <f aca="true" t="shared" si="1" ref="L22:L28">D22/C22*K22</f>
        <v>3277800</v>
      </c>
      <c r="M22" s="36">
        <f t="shared" si="0"/>
        <v>-4</v>
      </c>
      <c r="N22" s="36">
        <f t="shared" si="0"/>
        <v>-364200</v>
      </c>
    </row>
    <row r="23" spans="1:14" ht="12.75">
      <c r="A23" s="299" t="s">
        <v>263</v>
      </c>
      <c r="B23" s="300">
        <v>1110302</v>
      </c>
      <c r="C23" s="36">
        <v>46</v>
      </c>
      <c r="D23" s="36">
        <v>3712200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58">
        <v>49</v>
      </c>
      <c r="L23" s="36">
        <f t="shared" si="1"/>
        <v>3954300</v>
      </c>
      <c r="M23" s="36">
        <f t="shared" si="0"/>
        <v>3</v>
      </c>
      <c r="N23" s="36">
        <f t="shared" si="0"/>
        <v>242100</v>
      </c>
    </row>
    <row r="24" spans="1:14" ht="12.75">
      <c r="A24" s="299" t="s">
        <v>263</v>
      </c>
      <c r="B24" s="300">
        <v>1110303</v>
      </c>
      <c r="C24" s="36">
        <v>1</v>
      </c>
      <c r="D24" s="36">
        <v>64000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58">
        <v>2</v>
      </c>
      <c r="L24" s="36">
        <f t="shared" si="1"/>
        <v>128000</v>
      </c>
      <c r="M24" s="36">
        <f t="shared" si="0"/>
        <v>1</v>
      </c>
      <c r="N24" s="36">
        <f t="shared" si="0"/>
        <v>64000</v>
      </c>
    </row>
    <row r="25" spans="1:14" ht="12.75">
      <c r="A25" s="299" t="s">
        <v>264</v>
      </c>
      <c r="B25" s="300">
        <v>1110304</v>
      </c>
      <c r="C25" s="36">
        <v>24</v>
      </c>
      <c r="D25" s="36">
        <v>6496800</v>
      </c>
      <c r="E25" s="36">
        <v>-11</v>
      </c>
      <c r="F25" s="36">
        <v>-2977700</v>
      </c>
      <c r="G25" s="36">
        <v>-11</v>
      </c>
      <c r="H25" s="36">
        <v>-2977700</v>
      </c>
      <c r="I25" s="36">
        <v>0</v>
      </c>
      <c r="J25" s="36">
        <v>0</v>
      </c>
      <c r="K25" s="58">
        <v>2</v>
      </c>
      <c r="L25" s="36">
        <f t="shared" si="1"/>
        <v>541400</v>
      </c>
      <c r="M25" s="36">
        <f t="shared" si="0"/>
        <v>0</v>
      </c>
      <c r="N25" s="36">
        <f t="shared" si="0"/>
        <v>0</v>
      </c>
    </row>
    <row r="26" spans="1:14" ht="12.75">
      <c r="A26" s="299" t="s">
        <v>264</v>
      </c>
      <c r="B26" s="300">
        <v>1110305</v>
      </c>
      <c r="C26" s="36">
        <v>11</v>
      </c>
      <c r="D26" s="36">
        <v>1881000</v>
      </c>
      <c r="E26" s="36">
        <v>0</v>
      </c>
      <c r="F26" s="36">
        <v>0</v>
      </c>
      <c r="G26" s="36">
        <v>17</v>
      </c>
      <c r="H26" s="36">
        <v>2907000</v>
      </c>
      <c r="I26" s="36">
        <v>0</v>
      </c>
      <c r="J26" s="36">
        <v>0</v>
      </c>
      <c r="K26" s="58">
        <v>28</v>
      </c>
      <c r="L26" s="36">
        <f t="shared" si="1"/>
        <v>4788000</v>
      </c>
      <c r="M26" s="36">
        <f t="shared" si="0"/>
        <v>0</v>
      </c>
      <c r="N26" s="36">
        <f t="shared" si="0"/>
        <v>0</v>
      </c>
    </row>
    <row r="27" spans="1:14" ht="12.75">
      <c r="A27" s="299" t="s">
        <v>265</v>
      </c>
      <c r="B27" s="300">
        <v>1110318</v>
      </c>
      <c r="C27" s="36">
        <v>62</v>
      </c>
      <c r="D27" s="36">
        <v>1829000</v>
      </c>
      <c r="E27" s="36">
        <v>-21</v>
      </c>
      <c r="F27" s="36">
        <v>-619500</v>
      </c>
      <c r="G27" s="36">
        <v>5</v>
      </c>
      <c r="H27" s="36">
        <v>147500</v>
      </c>
      <c r="I27" s="36">
        <v>0</v>
      </c>
      <c r="J27" s="36">
        <v>0</v>
      </c>
      <c r="K27" s="58">
        <v>48</v>
      </c>
      <c r="L27" s="36">
        <f t="shared" si="1"/>
        <v>1416000</v>
      </c>
      <c r="M27" s="36">
        <f t="shared" si="0"/>
        <v>2</v>
      </c>
      <c r="N27" s="36">
        <f t="shared" si="0"/>
        <v>59000</v>
      </c>
    </row>
    <row r="28" spans="1:14" ht="12.75">
      <c r="A28" s="299" t="s">
        <v>266</v>
      </c>
      <c r="B28" s="300">
        <v>1110310</v>
      </c>
      <c r="C28" s="36">
        <v>19</v>
      </c>
      <c r="D28" s="36">
        <v>2777800</v>
      </c>
      <c r="E28" s="36">
        <v>0</v>
      </c>
      <c r="F28" s="36">
        <v>0</v>
      </c>
      <c r="G28" s="36">
        <v>0</v>
      </c>
      <c r="H28" s="36">
        <v>0</v>
      </c>
      <c r="I28" s="36">
        <v>-2</v>
      </c>
      <c r="J28" s="36">
        <v>-292400</v>
      </c>
      <c r="K28" s="58">
        <v>17</v>
      </c>
      <c r="L28" s="36">
        <f t="shared" si="1"/>
        <v>2485400</v>
      </c>
      <c r="M28" s="36">
        <f t="shared" si="0"/>
        <v>0</v>
      </c>
      <c r="N28" s="36">
        <f t="shared" si="0"/>
        <v>0</v>
      </c>
    </row>
    <row r="29" spans="1:14" ht="12.75">
      <c r="A29" s="299" t="s">
        <v>267</v>
      </c>
      <c r="B29" s="300">
        <v>1120204</v>
      </c>
      <c r="C29" s="36">
        <v>15</v>
      </c>
      <c r="D29" s="36">
        <v>10335000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58">
        <v>11</v>
      </c>
      <c r="L29" s="36">
        <f>D29/C29*K29</f>
        <v>7579000</v>
      </c>
      <c r="M29" s="36">
        <f t="shared" si="0"/>
        <v>-4</v>
      </c>
      <c r="N29" s="36">
        <f t="shared" si="0"/>
        <v>-2756000</v>
      </c>
    </row>
    <row r="30" spans="1:14" ht="12.75">
      <c r="A30" s="299" t="s">
        <v>267</v>
      </c>
      <c r="B30" s="300">
        <v>1120205</v>
      </c>
      <c r="C30" s="36">
        <v>2</v>
      </c>
      <c r="D30" s="36">
        <v>1545400</v>
      </c>
      <c r="E30" s="36">
        <v>0</v>
      </c>
      <c r="F30" s="36">
        <v>0</v>
      </c>
      <c r="G30" s="36">
        <v>0</v>
      </c>
      <c r="H30" s="36">
        <v>0</v>
      </c>
      <c r="I30" s="36">
        <v>-2</v>
      </c>
      <c r="J30" s="36">
        <v>-1545400</v>
      </c>
      <c r="K30" s="58">
        <v>0</v>
      </c>
      <c r="L30" s="36">
        <v>0</v>
      </c>
      <c r="M30" s="36">
        <f t="shared" si="0"/>
        <v>0</v>
      </c>
      <c r="N30" s="36">
        <f t="shared" si="0"/>
        <v>0</v>
      </c>
    </row>
    <row r="31" spans="1:14" ht="12.75">
      <c r="A31" s="299" t="s">
        <v>267</v>
      </c>
      <c r="B31" s="300">
        <v>1120206</v>
      </c>
      <c r="C31" s="36">
        <v>2</v>
      </c>
      <c r="D31" s="36">
        <v>1378000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58">
        <v>6</v>
      </c>
      <c r="L31" s="36">
        <f>D31/C31*K31</f>
        <v>4134000</v>
      </c>
      <c r="M31" s="36">
        <f t="shared" si="0"/>
        <v>4</v>
      </c>
      <c r="N31" s="36">
        <f t="shared" si="0"/>
        <v>2756000</v>
      </c>
    </row>
    <row r="32" spans="1:14" ht="12.75">
      <c r="A32" s="299" t="s">
        <v>268</v>
      </c>
      <c r="B32" s="300">
        <v>1151103</v>
      </c>
      <c r="C32" s="36">
        <v>164</v>
      </c>
      <c r="D32" s="36">
        <v>22610000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123</v>
      </c>
      <c r="L32" s="36">
        <f>10*2550000*8/12</f>
        <v>17000000</v>
      </c>
      <c r="M32" s="36">
        <f t="shared" si="0"/>
        <v>-41</v>
      </c>
      <c r="N32" s="36">
        <f t="shared" si="0"/>
        <v>-5610000</v>
      </c>
    </row>
    <row r="33" spans="1:14" ht="12.75">
      <c r="A33" s="299" t="s">
        <v>269</v>
      </c>
      <c r="B33" s="300">
        <v>1151104</v>
      </c>
      <c r="C33" s="36">
        <v>127</v>
      </c>
      <c r="D33" s="36">
        <v>20570000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180</v>
      </c>
      <c r="L33" s="36">
        <f>17.2*2550000*8/12</f>
        <v>29240000</v>
      </c>
      <c r="M33" s="36">
        <f t="shared" si="0"/>
        <v>53</v>
      </c>
      <c r="N33" s="36">
        <f t="shared" si="0"/>
        <v>8670000</v>
      </c>
    </row>
    <row r="34" spans="1:14" ht="12.75">
      <c r="A34" s="299" t="s">
        <v>270</v>
      </c>
      <c r="B34" s="300">
        <v>1151202</v>
      </c>
      <c r="C34" s="36">
        <v>280</v>
      </c>
      <c r="D34" s="36">
        <v>19219333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278</v>
      </c>
      <c r="L34" s="36">
        <f>22.5*2540000/12*4</f>
        <v>19050000</v>
      </c>
      <c r="M34" s="36">
        <f t="shared" si="0"/>
        <v>-2</v>
      </c>
      <c r="N34" s="36">
        <f t="shared" si="0"/>
        <v>-169333</v>
      </c>
    </row>
    <row r="35" spans="1:14" ht="12.75">
      <c r="A35" s="299" t="s">
        <v>271</v>
      </c>
      <c r="B35" s="300">
        <v>1152101</v>
      </c>
      <c r="C35" s="36">
        <v>183</v>
      </c>
      <c r="D35" s="36">
        <v>17850000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181</v>
      </c>
      <c r="L35" s="36">
        <f>10.3*2550000/12*8</f>
        <v>17510000</v>
      </c>
      <c r="M35" s="36">
        <f t="shared" si="0"/>
        <v>-2</v>
      </c>
      <c r="N35" s="36">
        <f t="shared" si="0"/>
        <v>-340000</v>
      </c>
    </row>
    <row r="36" spans="1:14" ht="12.75">
      <c r="A36" s="299" t="s">
        <v>272</v>
      </c>
      <c r="B36" s="300">
        <v>1152102</v>
      </c>
      <c r="C36" s="36">
        <v>94</v>
      </c>
      <c r="D36" s="36">
        <v>11390000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90</v>
      </c>
      <c r="L36" s="36">
        <f>6.5*2550000/12*8</f>
        <v>11050000</v>
      </c>
      <c r="M36" s="36">
        <f t="shared" si="0"/>
        <v>-4</v>
      </c>
      <c r="N36" s="36">
        <f t="shared" si="0"/>
        <v>-340000</v>
      </c>
    </row>
    <row r="37" spans="1:14" ht="12.75">
      <c r="A37" s="299" t="s">
        <v>273</v>
      </c>
      <c r="B37" s="300">
        <v>1152103</v>
      </c>
      <c r="C37" s="36">
        <v>94</v>
      </c>
      <c r="D37" s="36">
        <v>13940000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97</v>
      </c>
      <c r="L37" s="36">
        <f>8.4*2550000/12*8</f>
        <v>14280000</v>
      </c>
      <c r="M37" s="36">
        <f t="shared" si="0"/>
        <v>3</v>
      </c>
      <c r="N37" s="36">
        <f t="shared" si="0"/>
        <v>340000</v>
      </c>
    </row>
    <row r="38" spans="1:14" ht="12.75">
      <c r="A38" s="299" t="s">
        <v>274</v>
      </c>
      <c r="B38" s="300">
        <v>1152105</v>
      </c>
      <c r="C38" s="36">
        <v>178</v>
      </c>
      <c r="D38" s="36">
        <v>20400000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171</v>
      </c>
      <c r="L38" s="36">
        <f>11.5*2550000/12*8</f>
        <v>19550000</v>
      </c>
      <c r="M38" s="36">
        <f t="shared" si="0"/>
        <v>-7</v>
      </c>
      <c r="N38" s="36">
        <f t="shared" si="0"/>
        <v>-850000</v>
      </c>
    </row>
    <row r="39" spans="1:14" ht="12.75">
      <c r="A39" s="299" t="s">
        <v>275</v>
      </c>
      <c r="B39" s="300">
        <v>1152106</v>
      </c>
      <c r="C39" s="36">
        <v>159</v>
      </c>
      <c r="D39" s="36">
        <v>23800000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153</v>
      </c>
      <c r="L39" s="36">
        <f>13.5*2550000/12*8</f>
        <v>22950000</v>
      </c>
      <c r="M39" s="36">
        <f t="shared" si="0"/>
        <v>-6</v>
      </c>
      <c r="N39" s="36">
        <f t="shared" si="0"/>
        <v>-850000</v>
      </c>
    </row>
    <row r="40" spans="1:14" ht="12.75">
      <c r="A40" s="299" t="s">
        <v>276</v>
      </c>
      <c r="B40" s="300">
        <v>1152201</v>
      </c>
      <c r="C40" s="36">
        <v>165</v>
      </c>
      <c r="D40" s="36">
        <v>7958667</v>
      </c>
      <c r="E40" s="36">
        <v>0</v>
      </c>
      <c r="F40" s="36">
        <v>0</v>
      </c>
      <c r="G40" s="36">
        <v>5</v>
      </c>
      <c r="H40" s="36">
        <v>254000</v>
      </c>
      <c r="I40" s="36">
        <v>0</v>
      </c>
      <c r="J40" s="36">
        <v>0</v>
      </c>
      <c r="K40" s="36">
        <v>173</v>
      </c>
      <c r="L40" s="36">
        <f>9.9*2540000/12*4</f>
        <v>8382000</v>
      </c>
      <c r="M40" s="36">
        <f t="shared" si="0"/>
        <v>3</v>
      </c>
      <c r="N40" s="36">
        <f t="shared" si="0"/>
        <v>169333</v>
      </c>
    </row>
    <row r="41" spans="1:14" ht="12.75">
      <c r="A41" s="299" t="s">
        <v>277</v>
      </c>
      <c r="B41" s="300">
        <v>1152202</v>
      </c>
      <c r="C41" s="36">
        <v>112</v>
      </c>
      <c r="D41" s="36">
        <v>5503333</v>
      </c>
      <c r="E41" s="36">
        <v>0</v>
      </c>
      <c r="F41" s="36">
        <v>0</v>
      </c>
      <c r="G41" s="36">
        <v>0</v>
      </c>
      <c r="H41" s="36">
        <v>0</v>
      </c>
      <c r="I41" s="36">
        <v>-1</v>
      </c>
      <c r="J41" s="36">
        <v>-84666</v>
      </c>
      <c r="K41" s="36">
        <v>111</v>
      </c>
      <c r="L41" s="36">
        <f>6.4*2540000/12*4</f>
        <v>5418666.666666667</v>
      </c>
      <c r="M41" s="36">
        <f t="shared" si="0"/>
        <v>0</v>
      </c>
      <c r="N41" s="36">
        <f t="shared" si="0"/>
        <v>-0.3333333330228925</v>
      </c>
    </row>
    <row r="42" spans="1:14" ht="12.75">
      <c r="A42" s="299" t="s">
        <v>278</v>
      </c>
      <c r="B42" s="300">
        <v>1152203</v>
      </c>
      <c r="C42" s="36">
        <v>93</v>
      </c>
      <c r="D42" s="36">
        <v>6858000</v>
      </c>
      <c r="E42" s="36">
        <v>0</v>
      </c>
      <c r="F42" s="36">
        <v>0</v>
      </c>
      <c r="G42" s="36">
        <v>4</v>
      </c>
      <c r="H42" s="36">
        <v>254000</v>
      </c>
      <c r="I42" s="36">
        <v>0</v>
      </c>
      <c r="J42" s="36">
        <v>0</v>
      </c>
      <c r="K42" s="36">
        <v>92</v>
      </c>
      <c r="L42" s="36">
        <f>8*2540000/12*4</f>
        <v>6773333.333333333</v>
      </c>
      <c r="M42" s="36">
        <f t="shared" si="0"/>
        <v>-5</v>
      </c>
      <c r="N42" s="36">
        <f t="shared" si="0"/>
        <v>-338666.666666667</v>
      </c>
    </row>
    <row r="43" spans="1:14" ht="12.75">
      <c r="A43" s="299" t="s">
        <v>279</v>
      </c>
      <c r="B43" s="300">
        <v>1152205</v>
      </c>
      <c r="C43" s="36">
        <v>174</v>
      </c>
      <c r="D43" s="36">
        <v>9906000</v>
      </c>
      <c r="E43" s="36">
        <v>0</v>
      </c>
      <c r="F43" s="36">
        <v>0</v>
      </c>
      <c r="G43" s="36">
        <v>0</v>
      </c>
      <c r="H43" s="36">
        <v>0</v>
      </c>
      <c r="I43" s="36">
        <v>-3</v>
      </c>
      <c r="J43" s="36">
        <v>-169333</v>
      </c>
      <c r="K43" s="36">
        <v>178</v>
      </c>
      <c r="L43" s="36">
        <f>12*2540000/12*4</f>
        <v>10160000</v>
      </c>
      <c r="M43" s="36">
        <f t="shared" si="0"/>
        <v>7</v>
      </c>
      <c r="N43" s="36">
        <f t="shared" si="0"/>
        <v>423333</v>
      </c>
    </row>
    <row r="44" spans="1:14" ht="12.75">
      <c r="A44" s="299" t="s">
        <v>280</v>
      </c>
      <c r="B44" s="300">
        <v>1152206</v>
      </c>
      <c r="C44" s="36">
        <v>93</v>
      </c>
      <c r="D44" s="36">
        <v>6011333</v>
      </c>
      <c r="E44" s="36">
        <v>0</v>
      </c>
      <c r="F44" s="36">
        <v>0</v>
      </c>
      <c r="G44" s="36">
        <v>0</v>
      </c>
      <c r="H44" s="36">
        <v>0</v>
      </c>
      <c r="I44" s="36">
        <v>-9</v>
      </c>
      <c r="J44" s="36">
        <v>-592666</v>
      </c>
      <c r="K44" s="36">
        <v>84</v>
      </c>
      <c r="L44" s="36">
        <f>6.4*2540000/12*4</f>
        <v>5418666.666666667</v>
      </c>
      <c r="M44" s="36">
        <f t="shared" si="0"/>
        <v>0</v>
      </c>
      <c r="N44" s="36">
        <f t="shared" si="0"/>
        <v>-0.3333333330228925</v>
      </c>
    </row>
    <row r="45" spans="1:14" ht="12.75">
      <c r="A45" s="299" t="s">
        <v>281</v>
      </c>
      <c r="B45" s="300">
        <v>1152207</v>
      </c>
      <c r="C45" s="36">
        <v>79</v>
      </c>
      <c r="D45" s="36">
        <v>5926667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77</v>
      </c>
      <c r="L45" s="36">
        <f>6.8*2540000/12*4</f>
        <v>5757333.333333333</v>
      </c>
      <c r="M45" s="36">
        <f t="shared" si="0"/>
        <v>-2</v>
      </c>
      <c r="N45" s="36">
        <f t="shared" si="0"/>
        <v>-169333.66666666698</v>
      </c>
    </row>
    <row r="46" spans="1:14" ht="12.75">
      <c r="A46" s="299" t="s">
        <v>282</v>
      </c>
      <c r="B46" s="300">
        <v>1158103</v>
      </c>
      <c r="C46" s="36">
        <v>999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f>K46-(C46+E46+G46+I46)</f>
        <v>-999</v>
      </c>
      <c r="N46" s="36">
        <f t="shared" si="0"/>
        <v>0</v>
      </c>
    </row>
    <row r="47" spans="1:14" ht="12.75">
      <c r="A47" s="299" t="s">
        <v>282</v>
      </c>
      <c r="B47" s="300">
        <v>1158104</v>
      </c>
      <c r="C47" s="36">
        <v>708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f t="shared" si="0"/>
        <v>-708</v>
      </c>
      <c r="N47" s="36">
        <f t="shared" si="0"/>
        <v>0</v>
      </c>
    </row>
    <row r="48" spans="1:14" ht="12.75">
      <c r="A48" s="299" t="s">
        <v>282</v>
      </c>
      <c r="B48" s="300">
        <v>1158203</v>
      </c>
      <c r="C48" s="36">
        <v>996</v>
      </c>
      <c r="D48" s="36">
        <v>0</v>
      </c>
      <c r="E48" s="36">
        <v>0</v>
      </c>
      <c r="F48" s="36">
        <v>0</v>
      </c>
      <c r="G48" s="36">
        <v>9</v>
      </c>
      <c r="H48" s="36">
        <v>0</v>
      </c>
      <c r="I48" s="36">
        <v>-13</v>
      </c>
      <c r="J48" s="36">
        <v>0</v>
      </c>
      <c r="K48" s="36">
        <v>0</v>
      </c>
      <c r="L48" s="36">
        <v>0</v>
      </c>
      <c r="M48" s="36">
        <f t="shared" si="0"/>
        <v>-992</v>
      </c>
      <c r="N48" s="36">
        <f t="shared" si="0"/>
        <v>0</v>
      </c>
    </row>
    <row r="49" spans="1:14" ht="12.75">
      <c r="A49" s="299" t="s">
        <v>282</v>
      </c>
      <c r="B49" s="300">
        <v>1158204</v>
      </c>
      <c r="C49" s="36">
        <v>716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-4</v>
      </c>
      <c r="J49" s="36">
        <v>0</v>
      </c>
      <c r="K49" s="36">
        <v>0</v>
      </c>
      <c r="L49" s="36">
        <v>0</v>
      </c>
      <c r="M49" s="36">
        <f t="shared" si="0"/>
        <v>-712</v>
      </c>
      <c r="N49" s="36">
        <f t="shared" si="0"/>
        <v>0</v>
      </c>
    </row>
    <row r="50" spans="1:14" ht="12.75">
      <c r="A50" s="299" t="s">
        <v>283</v>
      </c>
      <c r="B50" s="300">
        <v>1155103</v>
      </c>
      <c r="C50" s="36">
        <v>52</v>
      </c>
      <c r="D50" s="36">
        <v>1870000</v>
      </c>
      <c r="E50" s="36">
        <v>0</v>
      </c>
      <c r="F50" s="36">
        <v>0</v>
      </c>
      <c r="G50" s="36">
        <v>0</v>
      </c>
      <c r="H50" s="36">
        <v>0</v>
      </c>
      <c r="I50" s="36">
        <v>-19</v>
      </c>
      <c r="J50" s="36">
        <v>-680000</v>
      </c>
      <c r="K50" s="36">
        <v>12</v>
      </c>
      <c r="L50" s="36">
        <f>0.3*2550000/12*8</f>
        <v>510000</v>
      </c>
      <c r="M50" s="36">
        <f t="shared" si="0"/>
        <v>-21</v>
      </c>
      <c r="N50" s="36">
        <f t="shared" si="0"/>
        <v>-680000</v>
      </c>
    </row>
    <row r="51" spans="1:14" ht="12.75">
      <c r="A51" s="299" t="s">
        <v>284</v>
      </c>
      <c r="B51" s="300">
        <v>1155102</v>
      </c>
      <c r="C51" s="36">
        <v>52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-19</v>
      </c>
      <c r="J51" s="36">
        <v>0</v>
      </c>
      <c r="K51" s="36">
        <v>12</v>
      </c>
      <c r="L51" s="36">
        <v>0</v>
      </c>
      <c r="M51" s="36">
        <f t="shared" si="0"/>
        <v>-21</v>
      </c>
      <c r="N51" s="36">
        <f t="shared" si="0"/>
        <v>0</v>
      </c>
    </row>
    <row r="52" spans="1:14" ht="12.75">
      <c r="A52" s="299" t="s">
        <v>283</v>
      </c>
      <c r="B52" s="300">
        <v>1155106</v>
      </c>
      <c r="C52" s="36">
        <v>285</v>
      </c>
      <c r="D52" s="36">
        <v>3910000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232</v>
      </c>
      <c r="L52" s="36">
        <f>1.9*2550000/12*8</f>
        <v>3230000</v>
      </c>
      <c r="M52" s="36">
        <f t="shared" si="0"/>
        <v>-53</v>
      </c>
      <c r="N52" s="36">
        <f t="shared" si="0"/>
        <v>-680000</v>
      </c>
    </row>
    <row r="53" spans="1:14" ht="12.75">
      <c r="A53" s="299" t="s">
        <v>285</v>
      </c>
      <c r="B53" s="300">
        <v>1155105</v>
      </c>
      <c r="C53" s="36">
        <v>285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232</v>
      </c>
      <c r="L53" s="36">
        <v>0</v>
      </c>
      <c r="M53" s="36">
        <f t="shared" si="0"/>
        <v>-53</v>
      </c>
      <c r="N53" s="36">
        <f t="shared" si="0"/>
        <v>0</v>
      </c>
    </row>
    <row r="54" spans="1:14" ht="12.75">
      <c r="A54" s="299" t="s">
        <v>283</v>
      </c>
      <c r="B54" s="300">
        <v>1155203</v>
      </c>
      <c r="C54" s="36">
        <v>50</v>
      </c>
      <c r="D54" s="36">
        <v>931333</v>
      </c>
      <c r="E54" s="36">
        <v>0</v>
      </c>
      <c r="F54" s="36">
        <v>0</v>
      </c>
      <c r="G54" s="36">
        <v>0</v>
      </c>
      <c r="H54" s="36">
        <v>0</v>
      </c>
      <c r="I54" s="36">
        <v>-30</v>
      </c>
      <c r="J54" s="36">
        <v>-592666</v>
      </c>
      <c r="K54" s="36">
        <v>18</v>
      </c>
      <c r="L54" s="36">
        <f>0.4*2540000/12*4</f>
        <v>338666.6666666667</v>
      </c>
      <c r="M54" s="36">
        <f t="shared" si="0"/>
        <v>-2</v>
      </c>
      <c r="N54" s="36">
        <f t="shared" si="0"/>
        <v>-0.3333333333139308</v>
      </c>
    </row>
    <row r="55" spans="1:14" ht="12.75">
      <c r="A55" s="299" t="s">
        <v>286</v>
      </c>
      <c r="B55" s="300">
        <v>1155202</v>
      </c>
      <c r="C55" s="36">
        <v>50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-30</v>
      </c>
      <c r="J55" s="36">
        <v>0</v>
      </c>
      <c r="K55" s="36">
        <v>18</v>
      </c>
      <c r="L55" s="36">
        <v>0</v>
      </c>
      <c r="M55" s="36">
        <f t="shared" si="0"/>
        <v>-2</v>
      </c>
      <c r="N55" s="36">
        <f t="shared" si="0"/>
        <v>0</v>
      </c>
    </row>
    <row r="56" spans="1:14" ht="12.75">
      <c r="A56" s="299" t="s">
        <v>283</v>
      </c>
      <c r="B56" s="300">
        <v>1155206</v>
      </c>
      <c r="C56" s="36">
        <v>310</v>
      </c>
      <c r="D56" s="36">
        <v>2116667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301</v>
      </c>
      <c r="L56" s="36">
        <f>2.4*2540000/12*4</f>
        <v>2032000</v>
      </c>
      <c r="M56" s="36">
        <f t="shared" si="0"/>
        <v>-9</v>
      </c>
      <c r="N56" s="36">
        <f t="shared" si="0"/>
        <v>-84667</v>
      </c>
    </row>
    <row r="57" spans="1:14" ht="12.75">
      <c r="A57" s="299" t="s">
        <v>287</v>
      </c>
      <c r="B57" s="300">
        <v>1155205</v>
      </c>
      <c r="C57" s="36">
        <v>310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301</v>
      </c>
      <c r="L57" s="36">
        <v>0</v>
      </c>
      <c r="M57" s="36">
        <f t="shared" si="0"/>
        <v>-9</v>
      </c>
      <c r="N57" s="36">
        <f t="shared" si="0"/>
        <v>0</v>
      </c>
    </row>
    <row r="58" spans="1:14" ht="12.75">
      <c r="A58" s="299" t="s">
        <v>288</v>
      </c>
      <c r="B58" s="300">
        <v>1157101</v>
      </c>
      <c r="C58" s="36">
        <v>190</v>
      </c>
      <c r="D58" s="36">
        <v>3060000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141</v>
      </c>
      <c r="L58" s="36">
        <f>1.4*2550000/12*8</f>
        <v>2380000</v>
      </c>
      <c r="M58" s="36">
        <f t="shared" si="0"/>
        <v>-49</v>
      </c>
      <c r="N58" s="36">
        <f t="shared" si="0"/>
        <v>-680000</v>
      </c>
    </row>
    <row r="59" spans="1:14" ht="12.75">
      <c r="A59" s="299" t="s">
        <v>289</v>
      </c>
      <c r="B59" s="300">
        <v>1157102</v>
      </c>
      <c r="C59" s="36">
        <v>69</v>
      </c>
      <c r="D59" s="36">
        <v>680000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50</v>
      </c>
      <c r="L59" s="36">
        <f>0.3*2550000/12*8</f>
        <v>510000</v>
      </c>
      <c r="M59" s="36">
        <f t="shared" si="0"/>
        <v>-19</v>
      </c>
      <c r="N59" s="36">
        <f t="shared" si="0"/>
        <v>-170000</v>
      </c>
    </row>
    <row r="60" spans="1:14" ht="12.75">
      <c r="A60" s="299" t="s">
        <v>290</v>
      </c>
      <c r="B60" s="300">
        <v>1157103</v>
      </c>
      <c r="C60" s="36">
        <v>73</v>
      </c>
      <c r="D60" s="36">
        <v>1530000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73</v>
      </c>
      <c r="L60" s="36">
        <f>0.9*2550000/12*8</f>
        <v>1530000</v>
      </c>
      <c r="M60" s="36">
        <f t="shared" si="0"/>
        <v>0</v>
      </c>
      <c r="N60" s="36">
        <f t="shared" si="0"/>
        <v>0</v>
      </c>
    </row>
    <row r="61" spans="1:14" ht="12.75">
      <c r="A61" s="299" t="s">
        <v>291</v>
      </c>
      <c r="B61" s="300">
        <v>1157201</v>
      </c>
      <c r="C61" s="36">
        <v>180</v>
      </c>
      <c r="D61" s="36">
        <v>1439333</v>
      </c>
      <c r="E61" s="36">
        <v>0</v>
      </c>
      <c r="F61" s="36">
        <v>0</v>
      </c>
      <c r="G61" s="36">
        <v>7</v>
      </c>
      <c r="H61" s="36">
        <v>84667</v>
      </c>
      <c r="I61" s="36">
        <v>0</v>
      </c>
      <c r="J61" s="36">
        <v>0</v>
      </c>
      <c r="K61" s="36">
        <v>197</v>
      </c>
      <c r="L61" s="36">
        <f>1.9*2540000/12*4</f>
        <v>1608666.6666666667</v>
      </c>
      <c r="M61" s="36">
        <f t="shared" si="0"/>
        <v>10</v>
      </c>
      <c r="N61" s="36">
        <f t="shared" si="0"/>
        <v>84666.66666666674</v>
      </c>
    </row>
    <row r="62" spans="1:14" ht="12.75">
      <c r="A62" s="299" t="s">
        <v>292</v>
      </c>
      <c r="B62" s="300">
        <v>1157202</v>
      </c>
      <c r="C62" s="36">
        <v>67</v>
      </c>
      <c r="D62" s="36">
        <v>338667</v>
      </c>
      <c r="E62" s="36">
        <v>0</v>
      </c>
      <c r="F62" s="36">
        <v>0</v>
      </c>
      <c r="G62" s="36">
        <v>-15</v>
      </c>
      <c r="H62" s="36">
        <v>-84667</v>
      </c>
      <c r="I62" s="36">
        <v>0</v>
      </c>
      <c r="J62" s="36">
        <v>0</v>
      </c>
      <c r="K62" s="36">
        <v>65</v>
      </c>
      <c r="L62" s="36">
        <f>0.4*2540000/12*4</f>
        <v>338666.6666666667</v>
      </c>
      <c r="M62" s="36">
        <f t="shared" si="0"/>
        <v>13</v>
      </c>
      <c r="N62" s="36">
        <f t="shared" si="0"/>
        <v>84666.66666666669</v>
      </c>
    </row>
    <row r="63" spans="1:14" ht="12.75">
      <c r="A63" s="299" t="s">
        <v>293</v>
      </c>
      <c r="B63" s="300">
        <v>1157203</v>
      </c>
      <c r="C63" s="36">
        <v>70</v>
      </c>
      <c r="D63" s="36">
        <v>762000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70</v>
      </c>
      <c r="L63" s="36">
        <f>0.9*2540000/12*4</f>
        <v>762000</v>
      </c>
      <c r="M63" s="36">
        <f t="shared" si="0"/>
        <v>0</v>
      </c>
      <c r="N63" s="36">
        <f t="shared" si="0"/>
        <v>0</v>
      </c>
    </row>
    <row r="64" spans="1:14" ht="12.75">
      <c r="A64" s="299" t="s">
        <v>294</v>
      </c>
      <c r="B64" s="300">
        <v>1162103</v>
      </c>
      <c r="C64" s="36">
        <v>1</v>
      </c>
      <c r="D64" s="36">
        <v>160000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1</v>
      </c>
      <c r="L64" s="36">
        <v>160000</v>
      </c>
      <c r="M64" s="36">
        <f t="shared" si="0"/>
        <v>0</v>
      </c>
      <c r="N64" s="36">
        <f t="shared" si="0"/>
        <v>0</v>
      </c>
    </row>
    <row r="65" spans="1:14" ht="12.75">
      <c r="A65" s="299" t="s">
        <v>295</v>
      </c>
      <c r="B65" s="300">
        <v>1162101</v>
      </c>
      <c r="C65" s="36">
        <v>1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1</v>
      </c>
      <c r="L65" s="36">
        <v>0</v>
      </c>
      <c r="M65" s="36">
        <f t="shared" si="0"/>
        <v>0</v>
      </c>
      <c r="N65" s="36">
        <f t="shared" si="0"/>
        <v>0</v>
      </c>
    </row>
    <row r="66" spans="1:14" ht="12.75">
      <c r="A66" s="299" t="s">
        <v>296</v>
      </c>
      <c r="B66" s="300">
        <v>1162106</v>
      </c>
      <c r="C66" s="36">
        <v>1</v>
      </c>
      <c r="D66" s="36">
        <v>79667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1</v>
      </c>
      <c r="L66" s="36">
        <v>79667</v>
      </c>
      <c r="M66" s="36">
        <f t="shared" si="0"/>
        <v>0</v>
      </c>
      <c r="N66" s="36">
        <f t="shared" si="0"/>
        <v>0</v>
      </c>
    </row>
    <row r="67" spans="1:14" ht="12.75">
      <c r="A67" s="299" t="s">
        <v>297</v>
      </c>
      <c r="B67" s="300">
        <v>1162104</v>
      </c>
      <c r="C67" s="36">
        <v>1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0</v>
      </c>
      <c r="M67" s="36">
        <f t="shared" si="0"/>
        <v>0</v>
      </c>
      <c r="N67" s="36">
        <f t="shared" si="0"/>
        <v>0</v>
      </c>
    </row>
    <row r="68" spans="1:14" ht="12.75">
      <c r="A68" s="299" t="s">
        <v>298</v>
      </c>
      <c r="B68" s="300">
        <v>1162202</v>
      </c>
      <c r="C68" s="36">
        <v>0</v>
      </c>
      <c r="D68" s="36">
        <v>0</v>
      </c>
      <c r="E68" s="36">
        <v>0</v>
      </c>
      <c r="F68" s="36">
        <v>0</v>
      </c>
      <c r="G68" s="36">
        <v>2</v>
      </c>
      <c r="H68" s="36">
        <v>95600</v>
      </c>
      <c r="I68" s="36">
        <v>0</v>
      </c>
      <c r="J68" s="36">
        <v>0</v>
      </c>
      <c r="K68" s="36">
        <v>2</v>
      </c>
      <c r="L68" s="36">
        <v>95600</v>
      </c>
      <c r="M68" s="36">
        <f aca="true" t="shared" si="2" ref="M68:N101">K68-(C68+E68+G68+I68)</f>
        <v>0</v>
      </c>
      <c r="N68" s="36">
        <f t="shared" si="2"/>
        <v>0</v>
      </c>
    </row>
    <row r="69" spans="1:14" ht="12.75">
      <c r="A69" s="299" t="s">
        <v>294</v>
      </c>
      <c r="B69" s="300">
        <v>1162305</v>
      </c>
      <c r="C69" s="36">
        <v>16</v>
      </c>
      <c r="D69" s="36">
        <v>4096000</v>
      </c>
      <c r="E69" s="36">
        <v>-8</v>
      </c>
      <c r="F69" s="36">
        <v>-2048000</v>
      </c>
      <c r="G69" s="36">
        <v>-8</v>
      </c>
      <c r="H69" s="36">
        <v>-2048000</v>
      </c>
      <c r="I69" s="36">
        <v>0</v>
      </c>
      <c r="J69" s="36">
        <v>0</v>
      </c>
      <c r="K69" s="36">
        <v>1</v>
      </c>
      <c r="L69" s="36">
        <v>256000</v>
      </c>
      <c r="M69" s="36">
        <f t="shared" si="2"/>
        <v>1</v>
      </c>
      <c r="N69" s="36">
        <f>L69-(D69+F69+H69+J69)</f>
        <v>256000</v>
      </c>
    </row>
    <row r="70" spans="1:14" ht="12.75">
      <c r="A70" s="299" t="s">
        <v>299</v>
      </c>
      <c r="B70" s="300">
        <v>1162302</v>
      </c>
      <c r="C70" s="36">
        <v>16</v>
      </c>
      <c r="D70" s="36">
        <v>0</v>
      </c>
      <c r="E70" s="36">
        <v>-8</v>
      </c>
      <c r="F70" s="36">
        <v>0</v>
      </c>
      <c r="G70" s="36">
        <v>-8</v>
      </c>
      <c r="H70" s="36">
        <v>0</v>
      </c>
      <c r="I70" s="36">
        <v>0</v>
      </c>
      <c r="J70" s="36">
        <v>0</v>
      </c>
      <c r="K70" s="36">
        <v>1</v>
      </c>
      <c r="L70" s="36">
        <v>0</v>
      </c>
      <c r="M70" s="36">
        <f t="shared" si="2"/>
        <v>1</v>
      </c>
      <c r="N70" s="36">
        <f t="shared" si="2"/>
        <v>0</v>
      </c>
    </row>
    <row r="71" spans="1:14" ht="12.75">
      <c r="A71" s="299" t="s">
        <v>296</v>
      </c>
      <c r="B71" s="300">
        <v>1162310</v>
      </c>
      <c r="C71" s="36">
        <v>11</v>
      </c>
      <c r="D71" s="36">
        <v>1402133</v>
      </c>
      <c r="E71" s="36">
        <v>0</v>
      </c>
      <c r="F71" s="36">
        <v>0</v>
      </c>
      <c r="G71" s="36">
        <v>-10</v>
      </c>
      <c r="H71" s="36">
        <v>-1274666</v>
      </c>
      <c r="I71" s="36">
        <v>0</v>
      </c>
      <c r="J71" s="36">
        <v>0</v>
      </c>
      <c r="K71" s="36">
        <v>1</v>
      </c>
      <c r="L71" s="36">
        <v>127467</v>
      </c>
      <c r="M71" s="36">
        <f t="shared" si="2"/>
        <v>0</v>
      </c>
      <c r="N71" s="36">
        <f t="shared" si="2"/>
        <v>0</v>
      </c>
    </row>
    <row r="72" spans="1:14" ht="12.75">
      <c r="A72" s="299" t="s">
        <v>300</v>
      </c>
      <c r="B72" s="300">
        <v>1162307</v>
      </c>
      <c r="C72" s="36">
        <v>11</v>
      </c>
      <c r="D72" s="36">
        <v>0</v>
      </c>
      <c r="E72" s="36">
        <v>0</v>
      </c>
      <c r="F72" s="36">
        <v>0</v>
      </c>
      <c r="G72" s="36">
        <v>-10</v>
      </c>
      <c r="H72" s="36">
        <v>0</v>
      </c>
      <c r="I72" s="36">
        <v>0</v>
      </c>
      <c r="J72" s="36">
        <v>0</v>
      </c>
      <c r="K72" s="36">
        <v>1</v>
      </c>
      <c r="L72" s="36">
        <v>0</v>
      </c>
      <c r="M72" s="36">
        <f t="shared" si="2"/>
        <v>0</v>
      </c>
      <c r="N72" s="36">
        <f t="shared" si="2"/>
        <v>0</v>
      </c>
    </row>
    <row r="73" spans="1:14" ht="12.75">
      <c r="A73" s="299" t="s">
        <v>299</v>
      </c>
      <c r="B73" s="300">
        <v>1162402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24</v>
      </c>
      <c r="L73" s="36">
        <v>3072000</v>
      </c>
      <c r="M73" s="36">
        <f t="shared" si="2"/>
        <v>24</v>
      </c>
      <c r="N73" s="36">
        <f t="shared" si="2"/>
        <v>3072000</v>
      </c>
    </row>
    <row r="74" spans="1:14" ht="12.75">
      <c r="A74" s="299" t="s">
        <v>296</v>
      </c>
      <c r="B74" s="300">
        <v>1162408</v>
      </c>
      <c r="C74" s="36">
        <v>0</v>
      </c>
      <c r="D74" s="36">
        <v>0</v>
      </c>
      <c r="E74" s="36">
        <v>0</v>
      </c>
      <c r="F74" s="36">
        <v>0</v>
      </c>
      <c r="G74" s="36">
        <v>17</v>
      </c>
      <c r="H74" s="36">
        <v>1083467</v>
      </c>
      <c r="I74" s="36">
        <v>0</v>
      </c>
      <c r="J74" s="36">
        <v>0</v>
      </c>
      <c r="K74" s="36">
        <v>18</v>
      </c>
      <c r="L74" s="36">
        <v>1147200</v>
      </c>
      <c r="M74" s="36">
        <f t="shared" si="2"/>
        <v>1</v>
      </c>
      <c r="N74" s="36">
        <f t="shared" si="2"/>
        <v>63733</v>
      </c>
    </row>
    <row r="75" spans="1:14" ht="12.75">
      <c r="A75" s="299" t="s">
        <v>301</v>
      </c>
      <c r="B75" s="300">
        <v>1162406</v>
      </c>
      <c r="C75" s="36">
        <v>0</v>
      </c>
      <c r="D75" s="36">
        <v>0</v>
      </c>
      <c r="E75" s="36">
        <v>0</v>
      </c>
      <c r="F75" s="36">
        <v>0</v>
      </c>
      <c r="G75" s="36">
        <v>17</v>
      </c>
      <c r="H75" s="36">
        <v>0</v>
      </c>
      <c r="I75" s="36">
        <v>0</v>
      </c>
      <c r="J75" s="36">
        <v>0</v>
      </c>
      <c r="K75" s="36">
        <v>18</v>
      </c>
      <c r="L75" s="36">
        <v>0</v>
      </c>
      <c r="M75" s="36">
        <f t="shared" si="2"/>
        <v>1</v>
      </c>
      <c r="N75" s="36">
        <f t="shared" si="2"/>
        <v>0</v>
      </c>
    </row>
    <row r="76" spans="1:14" ht="12.75">
      <c r="A76" s="299" t="s">
        <v>294</v>
      </c>
      <c r="B76" s="300">
        <v>1162504</v>
      </c>
      <c r="C76" s="36">
        <v>12</v>
      </c>
      <c r="D76" s="36">
        <v>1152000</v>
      </c>
      <c r="E76" s="36">
        <v>0</v>
      </c>
      <c r="F76" s="36">
        <v>0</v>
      </c>
      <c r="G76" s="36">
        <v>-8</v>
      </c>
      <c r="H76" s="36">
        <v>-768000</v>
      </c>
      <c r="I76" s="36">
        <v>0</v>
      </c>
      <c r="J76" s="36">
        <v>0</v>
      </c>
      <c r="K76" s="36">
        <v>2</v>
      </c>
      <c r="L76" s="36">
        <v>192000</v>
      </c>
      <c r="M76" s="36">
        <f t="shared" si="2"/>
        <v>-2</v>
      </c>
      <c r="N76" s="36">
        <f t="shared" si="2"/>
        <v>-192000</v>
      </c>
    </row>
    <row r="77" spans="1:14" ht="12.75">
      <c r="A77" s="299" t="s">
        <v>302</v>
      </c>
      <c r="B77" s="300">
        <v>1162502</v>
      </c>
      <c r="C77" s="36">
        <v>12</v>
      </c>
      <c r="D77" s="36">
        <v>0</v>
      </c>
      <c r="E77" s="36">
        <v>0</v>
      </c>
      <c r="F77" s="36">
        <v>0</v>
      </c>
      <c r="G77" s="36">
        <v>-8</v>
      </c>
      <c r="H77" s="36">
        <v>0</v>
      </c>
      <c r="I77" s="36">
        <v>0</v>
      </c>
      <c r="J77" s="36">
        <v>0</v>
      </c>
      <c r="K77" s="36">
        <v>2</v>
      </c>
      <c r="L77" s="36">
        <v>0</v>
      </c>
      <c r="M77" s="36">
        <f t="shared" si="2"/>
        <v>-2</v>
      </c>
      <c r="N77" s="36">
        <f t="shared" si="2"/>
        <v>0</v>
      </c>
    </row>
    <row r="78" spans="1:14" ht="12.75">
      <c r="A78" s="299" t="s">
        <v>296</v>
      </c>
      <c r="B78" s="300">
        <v>1162508</v>
      </c>
      <c r="C78" s="36">
        <v>12</v>
      </c>
      <c r="D78" s="36">
        <v>573600</v>
      </c>
      <c r="E78" s="36">
        <v>0</v>
      </c>
      <c r="F78" s="36">
        <v>0</v>
      </c>
      <c r="G78" s="36">
        <v>-8</v>
      </c>
      <c r="H78" s="36">
        <v>-382400</v>
      </c>
      <c r="I78" s="36">
        <v>0</v>
      </c>
      <c r="J78" s="36">
        <v>0</v>
      </c>
      <c r="K78" s="36">
        <v>2</v>
      </c>
      <c r="L78" s="36">
        <v>95600</v>
      </c>
      <c r="M78" s="36">
        <f t="shared" si="2"/>
        <v>-2</v>
      </c>
      <c r="N78" s="36">
        <f t="shared" si="2"/>
        <v>-95600</v>
      </c>
    </row>
    <row r="79" spans="1:14" ht="12.75">
      <c r="A79" s="299" t="s">
        <v>303</v>
      </c>
      <c r="B79" s="300">
        <v>1162506</v>
      </c>
      <c r="C79" s="36">
        <v>12</v>
      </c>
      <c r="D79" s="36">
        <v>0</v>
      </c>
      <c r="E79" s="36">
        <v>0</v>
      </c>
      <c r="F79" s="36">
        <v>0</v>
      </c>
      <c r="G79" s="36">
        <v>-8</v>
      </c>
      <c r="H79" s="36">
        <v>0</v>
      </c>
      <c r="I79" s="36">
        <v>0</v>
      </c>
      <c r="J79" s="36">
        <v>0</v>
      </c>
      <c r="K79" s="36">
        <v>2</v>
      </c>
      <c r="L79" s="36"/>
      <c r="M79" s="36">
        <f t="shared" si="2"/>
        <v>-2</v>
      </c>
      <c r="N79" s="36">
        <f t="shared" si="2"/>
        <v>0</v>
      </c>
    </row>
    <row r="80" spans="1:14" ht="12.75">
      <c r="A80" s="299" t="s">
        <v>304</v>
      </c>
      <c r="B80" s="300">
        <v>1163206</v>
      </c>
      <c r="C80" s="36">
        <v>84</v>
      </c>
      <c r="D80" s="36">
        <v>2520000</v>
      </c>
      <c r="E80" s="36">
        <v>0</v>
      </c>
      <c r="F80" s="36">
        <v>0</v>
      </c>
      <c r="G80" s="36">
        <v>-35</v>
      </c>
      <c r="H80" s="36">
        <v>-1050000</v>
      </c>
      <c r="I80" s="36">
        <v>0</v>
      </c>
      <c r="J80" s="36">
        <v>0</v>
      </c>
      <c r="K80" s="36">
        <v>48</v>
      </c>
      <c r="L80" s="36">
        <v>1440000</v>
      </c>
      <c r="M80" s="36">
        <f t="shared" si="2"/>
        <v>-1</v>
      </c>
      <c r="N80" s="36">
        <f t="shared" si="2"/>
        <v>-30000</v>
      </c>
    </row>
    <row r="81" spans="1:14" ht="12.75">
      <c r="A81" s="299" t="s">
        <v>305</v>
      </c>
      <c r="B81" s="300">
        <v>1163201</v>
      </c>
      <c r="C81" s="36">
        <v>13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13</v>
      </c>
      <c r="L81" s="36">
        <v>0</v>
      </c>
      <c r="M81" s="36">
        <f t="shared" si="2"/>
        <v>0</v>
      </c>
      <c r="N81" s="36">
        <f t="shared" si="2"/>
        <v>0</v>
      </c>
    </row>
    <row r="82" spans="1:14" ht="12.75">
      <c r="A82" s="299" t="s">
        <v>305</v>
      </c>
      <c r="B82" s="300">
        <v>1163202</v>
      </c>
      <c r="C82" s="36">
        <v>71</v>
      </c>
      <c r="D82" s="36">
        <v>0</v>
      </c>
      <c r="E82" s="36">
        <v>0</v>
      </c>
      <c r="F82" s="36">
        <v>0</v>
      </c>
      <c r="G82" s="36">
        <v>-35</v>
      </c>
      <c r="H82" s="36">
        <v>0</v>
      </c>
      <c r="I82" s="36">
        <v>0</v>
      </c>
      <c r="J82" s="36">
        <v>0</v>
      </c>
      <c r="K82" s="36">
        <v>35</v>
      </c>
      <c r="L82" s="36"/>
      <c r="M82" s="36">
        <f t="shared" si="2"/>
        <v>-1</v>
      </c>
      <c r="N82" s="36">
        <f t="shared" si="2"/>
        <v>0</v>
      </c>
    </row>
    <row r="83" spans="1:14" ht="12.75">
      <c r="A83" s="299" t="s">
        <v>306</v>
      </c>
      <c r="B83" s="300">
        <v>1163212</v>
      </c>
      <c r="C83" s="36">
        <v>83</v>
      </c>
      <c r="D83" s="36">
        <v>1189667</v>
      </c>
      <c r="E83" s="36">
        <v>0</v>
      </c>
      <c r="F83" s="36">
        <v>0</v>
      </c>
      <c r="G83" s="36">
        <v>-35</v>
      </c>
      <c r="H83" s="36">
        <v>-501667</v>
      </c>
      <c r="I83" s="36">
        <v>0</v>
      </c>
      <c r="J83" s="36">
        <v>0</v>
      </c>
      <c r="K83" s="36">
        <v>48</v>
      </c>
      <c r="L83" s="36">
        <v>688000</v>
      </c>
      <c r="M83" s="36">
        <f t="shared" si="2"/>
        <v>0</v>
      </c>
      <c r="N83" s="36">
        <f t="shared" si="2"/>
        <v>0</v>
      </c>
    </row>
    <row r="84" spans="1:14" ht="12.75">
      <c r="A84" s="299" t="s">
        <v>307</v>
      </c>
      <c r="B84" s="300">
        <v>1163207</v>
      </c>
      <c r="C84" s="36">
        <v>13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13</v>
      </c>
      <c r="L84" s="36">
        <v>0</v>
      </c>
      <c r="M84" s="36">
        <f t="shared" si="2"/>
        <v>0</v>
      </c>
      <c r="N84" s="36">
        <f t="shared" si="2"/>
        <v>0</v>
      </c>
    </row>
    <row r="85" spans="1:14" ht="12.75">
      <c r="A85" s="299" t="s">
        <v>307</v>
      </c>
      <c r="B85" s="300">
        <v>1163208</v>
      </c>
      <c r="C85" s="36">
        <v>70</v>
      </c>
      <c r="D85" s="36">
        <v>0</v>
      </c>
      <c r="E85" s="36">
        <v>0</v>
      </c>
      <c r="F85" s="36">
        <v>0</v>
      </c>
      <c r="G85" s="36">
        <v>-35</v>
      </c>
      <c r="H85" s="36">
        <v>0</v>
      </c>
      <c r="I85" s="36">
        <v>0</v>
      </c>
      <c r="J85" s="36">
        <v>0</v>
      </c>
      <c r="K85" s="36">
        <v>35</v>
      </c>
      <c r="L85" s="36">
        <v>0</v>
      </c>
      <c r="M85" s="36">
        <f t="shared" si="2"/>
        <v>0</v>
      </c>
      <c r="N85" s="36">
        <f t="shared" si="2"/>
        <v>0</v>
      </c>
    </row>
    <row r="86" spans="1:14" ht="12.75">
      <c r="A86" s="299" t="s">
        <v>308</v>
      </c>
      <c r="B86" s="300">
        <v>1166305</v>
      </c>
      <c r="C86" s="36">
        <v>196</v>
      </c>
      <c r="D86" s="36">
        <v>5880000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191</v>
      </c>
      <c r="L86" s="36">
        <v>5730000</v>
      </c>
      <c r="M86" s="36">
        <f t="shared" si="2"/>
        <v>-5</v>
      </c>
      <c r="N86" s="36">
        <f t="shared" si="2"/>
        <v>-150000</v>
      </c>
    </row>
    <row r="87" spans="1:14" ht="12.75">
      <c r="A87" s="299" t="s">
        <v>309</v>
      </c>
      <c r="B87" s="300">
        <v>1166301</v>
      </c>
      <c r="C87" s="36">
        <v>59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60</v>
      </c>
      <c r="L87" s="36">
        <v>0</v>
      </c>
      <c r="M87" s="36">
        <f t="shared" si="2"/>
        <v>1</v>
      </c>
      <c r="N87" s="36">
        <f t="shared" si="2"/>
        <v>0</v>
      </c>
    </row>
    <row r="88" spans="1:14" ht="12.75">
      <c r="A88" s="299" t="s">
        <v>309</v>
      </c>
      <c r="B88" s="300">
        <v>1166302</v>
      </c>
      <c r="C88" s="36">
        <v>67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66</v>
      </c>
      <c r="L88" s="36">
        <v>0</v>
      </c>
      <c r="M88" s="36">
        <f t="shared" si="2"/>
        <v>-1</v>
      </c>
      <c r="N88" s="36">
        <f t="shared" si="2"/>
        <v>0</v>
      </c>
    </row>
    <row r="89" spans="1:14" ht="12.75">
      <c r="A89" s="299" t="s">
        <v>309</v>
      </c>
      <c r="B89" s="300">
        <v>1166303</v>
      </c>
      <c r="C89" s="36">
        <v>15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14</v>
      </c>
      <c r="L89" s="36">
        <v>0</v>
      </c>
      <c r="M89" s="36">
        <f t="shared" si="2"/>
        <v>-1</v>
      </c>
      <c r="N89" s="36">
        <f t="shared" si="2"/>
        <v>0</v>
      </c>
    </row>
    <row r="90" spans="1:14" ht="12.75">
      <c r="A90" s="299" t="s">
        <v>309</v>
      </c>
      <c r="B90" s="300">
        <v>1166304</v>
      </c>
      <c r="C90" s="36">
        <v>55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51</v>
      </c>
      <c r="L90" s="36">
        <v>0</v>
      </c>
      <c r="M90" s="36">
        <f t="shared" si="2"/>
        <v>-4</v>
      </c>
      <c r="N90" s="36">
        <f t="shared" si="2"/>
        <v>0</v>
      </c>
    </row>
    <row r="91" spans="1:14" ht="12.75">
      <c r="A91" s="299" t="s">
        <v>310</v>
      </c>
      <c r="B91" s="300">
        <v>1166310</v>
      </c>
      <c r="C91" s="36">
        <v>190</v>
      </c>
      <c r="D91" s="36">
        <v>2710667</v>
      </c>
      <c r="E91" s="36">
        <v>0</v>
      </c>
      <c r="F91" s="36">
        <v>0</v>
      </c>
      <c r="G91" s="36">
        <v>-3</v>
      </c>
      <c r="H91" s="36">
        <v>-42800</v>
      </c>
      <c r="I91" s="36">
        <v>-1</v>
      </c>
      <c r="J91" s="36">
        <v>-14267</v>
      </c>
      <c r="K91" s="36">
        <v>178</v>
      </c>
      <c r="L91" s="36">
        <v>2539467</v>
      </c>
      <c r="M91" s="36">
        <f t="shared" si="2"/>
        <v>-8</v>
      </c>
      <c r="N91" s="36">
        <f t="shared" si="2"/>
        <v>-114133</v>
      </c>
    </row>
    <row r="92" spans="1:14" ht="12.75">
      <c r="A92" s="299" t="s">
        <v>311</v>
      </c>
      <c r="B92" s="300">
        <v>1166306</v>
      </c>
      <c r="C92" s="36">
        <v>50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51</v>
      </c>
      <c r="L92" s="36">
        <v>0</v>
      </c>
      <c r="M92" s="36">
        <f t="shared" si="2"/>
        <v>1</v>
      </c>
      <c r="N92" s="36">
        <f t="shared" si="2"/>
        <v>0</v>
      </c>
    </row>
    <row r="93" spans="1:14" ht="12.75">
      <c r="A93" s="299" t="s">
        <v>311</v>
      </c>
      <c r="B93" s="300">
        <v>1166307</v>
      </c>
      <c r="C93" s="36">
        <v>70</v>
      </c>
      <c r="D93" s="36">
        <v>0</v>
      </c>
      <c r="E93" s="36">
        <v>0</v>
      </c>
      <c r="F93" s="36">
        <v>0</v>
      </c>
      <c r="G93" s="36">
        <v>-3</v>
      </c>
      <c r="H93" s="36">
        <v>0</v>
      </c>
      <c r="I93" s="36">
        <v>-1</v>
      </c>
      <c r="J93" s="36">
        <v>0</v>
      </c>
      <c r="K93" s="36">
        <v>64</v>
      </c>
      <c r="L93" s="36">
        <v>0</v>
      </c>
      <c r="M93" s="36">
        <f t="shared" si="2"/>
        <v>-2</v>
      </c>
      <c r="N93" s="36">
        <f t="shared" si="2"/>
        <v>0</v>
      </c>
    </row>
    <row r="94" spans="1:14" ht="12.75">
      <c r="A94" s="299" t="s">
        <v>311</v>
      </c>
      <c r="B94" s="300">
        <v>1166308</v>
      </c>
      <c r="C94" s="36">
        <v>16</v>
      </c>
      <c r="D94" s="36">
        <v>0</v>
      </c>
      <c r="E94" s="36">
        <v>0</v>
      </c>
      <c r="F94" s="36">
        <v>0</v>
      </c>
      <c r="G94" s="36">
        <v>23</v>
      </c>
      <c r="H94" s="36">
        <v>0</v>
      </c>
      <c r="I94" s="36">
        <v>0</v>
      </c>
      <c r="J94" s="36">
        <v>0</v>
      </c>
      <c r="K94" s="36">
        <v>13</v>
      </c>
      <c r="L94" s="36">
        <v>0</v>
      </c>
      <c r="M94" s="36">
        <f t="shared" si="2"/>
        <v>-26</v>
      </c>
      <c r="N94" s="36">
        <f t="shared" si="2"/>
        <v>0</v>
      </c>
    </row>
    <row r="95" spans="1:14" ht="12.75">
      <c r="A95" s="299" t="s">
        <v>311</v>
      </c>
      <c r="B95" s="300">
        <v>1166309</v>
      </c>
      <c r="C95" s="36">
        <v>54</v>
      </c>
      <c r="D95" s="36">
        <v>0</v>
      </c>
      <c r="E95" s="36">
        <v>0</v>
      </c>
      <c r="F95" s="36">
        <v>0</v>
      </c>
      <c r="G95" s="36">
        <v>-23</v>
      </c>
      <c r="H95" s="36">
        <v>0</v>
      </c>
      <c r="I95" s="36">
        <v>0</v>
      </c>
      <c r="J95" s="36">
        <v>0</v>
      </c>
      <c r="K95" s="36">
        <v>50</v>
      </c>
      <c r="L95" s="36">
        <v>0</v>
      </c>
      <c r="M95" s="36">
        <f t="shared" si="2"/>
        <v>19</v>
      </c>
      <c r="N95" s="36">
        <f t="shared" si="2"/>
        <v>0</v>
      </c>
    </row>
    <row r="96" spans="1:14" ht="12.75">
      <c r="A96" s="299" t="s">
        <v>312</v>
      </c>
      <c r="B96" s="300">
        <v>1170107</v>
      </c>
      <c r="C96" s="36">
        <v>548</v>
      </c>
      <c r="D96" s="36">
        <v>35620000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512</v>
      </c>
      <c r="L96" s="36">
        <v>33280000</v>
      </c>
      <c r="M96" s="36">
        <f t="shared" si="2"/>
        <v>-36</v>
      </c>
      <c r="N96" s="36">
        <f t="shared" si="2"/>
        <v>-2340000</v>
      </c>
    </row>
    <row r="97" spans="1:14" ht="12.75">
      <c r="A97" s="299" t="s">
        <v>313</v>
      </c>
      <c r="B97" s="300">
        <v>1170101</v>
      </c>
      <c r="C97" s="36">
        <v>172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151</v>
      </c>
      <c r="L97" s="36">
        <v>0</v>
      </c>
      <c r="M97" s="36">
        <f t="shared" si="2"/>
        <v>-21</v>
      </c>
      <c r="N97" s="36">
        <f t="shared" si="2"/>
        <v>0</v>
      </c>
    </row>
    <row r="98" spans="1:14" ht="12.75">
      <c r="A98" s="299" t="s">
        <v>313</v>
      </c>
      <c r="B98" s="300">
        <v>1170102</v>
      </c>
      <c r="C98" s="36">
        <v>376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361</v>
      </c>
      <c r="L98" s="36">
        <v>0</v>
      </c>
      <c r="M98" s="36">
        <f t="shared" si="2"/>
        <v>-15</v>
      </c>
      <c r="N98" s="36">
        <f t="shared" si="2"/>
        <v>0</v>
      </c>
    </row>
    <row r="99" spans="1:14" ht="12.75">
      <c r="A99" s="299" t="s">
        <v>313</v>
      </c>
      <c r="B99" s="300">
        <v>1170108</v>
      </c>
      <c r="C99" s="36">
        <v>65</v>
      </c>
      <c r="D99" s="36">
        <v>1300000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01">
        <v>67</v>
      </c>
      <c r="L99" s="36">
        <v>1340000</v>
      </c>
      <c r="M99" s="36">
        <f t="shared" si="2"/>
        <v>2</v>
      </c>
      <c r="N99" s="36">
        <f t="shared" si="2"/>
        <v>40000</v>
      </c>
    </row>
    <row r="100" spans="1:14" ht="12.75">
      <c r="A100" s="299" t="s">
        <v>314</v>
      </c>
      <c r="B100" s="300">
        <v>1170201</v>
      </c>
      <c r="C100" s="36">
        <v>534</v>
      </c>
      <c r="D100" s="36">
        <v>5340000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559</v>
      </c>
      <c r="L100" s="36">
        <v>5590000</v>
      </c>
      <c r="M100" s="36">
        <f t="shared" si="2"/>
        <v>25</v>
      </c>
      <c r="N100" s="36">
        <f t="shared" si="2"/>
        <v>250000</v>
      </c>
    </row>
    <row r="101" spans="1:14" ht="12.75">
      <c r="A101" s="299" t="s">
        <v>315</v>
      </c>
      <c r="B101" s="300">
        <v>1170202</v>
      </c>
      <c r="C101" s="36">
        <v>716</v>
      </c>
      <c r="D101" s="36">
        <v>716000</v>
      </c>
      <c r="E101" s="36">
        <v>0</v>
      </c>
      <c r="F101" s="36">
        <v>0</v>
      </c>
      <c r="G101" s="36">
        <v>0</v>
      </c>
      <c r="H101" s="36">
        <v>0</v>
      </c>
      <c r="I101" s="36">
        <v>-4</v>
      </c>
      <c r="J101" s="36">
        <v>-4000</v>
      </c>
      <c r="K101" s="36">
        <v>715</v>
      </c>
      <c r="L101" s="36">
        <v>715000</v>
      </c>
      <c r="M101" s="36">
        <f t="shared" si="2"/>
        <v>3</v>
      </c>
      <c r="N101" s="36">
        <f t="shared" si="2"/>
        <v>3000</v>
      </c>
    </row>
    <row r="102" spans="1:14" ht="12.75">
      <c r="A102" s="302" t="s">
        <v>316</v>
      </c>
      <c r="B102" s="303"/>
      <c r="C102" s="35">
        <f>SUM(C8:C101)</f>
        <v>146580</v>
      </c>
      <c r="D102" s="35">
        <f aca="true" t="shared" si="3" ref="D102:M102">SUM(D8:D101)</f>
        <v>429173797</v>
      </c>
      <c r="E102" s="35">
        <f t="shared" si="3"/>
        <v>-48</v>
      </c>
      <c r="F102" s="35">
        <f t="shared" si="3"/>
        <v>-5645200</v>
      </c>
      <c r="G102" s="35">
        <f t="shared" si="3"/>
        <v>-157</v>
      </c>
      <c r="H102" s="35">
        <f t="shared" si="3"/>
        <v>-4303666</v>
      </c>
      <c r="I102" s="35">
        <f t="shared" si="3"/>
        <v>-138</v>
      </c>
      <c r="J102" s="35">
        <f t="shared" si="3"/>
        <v>-3975398</v>
      </c>
      <c r="K102" s="35">
        <f t="shared" si="3"/>
        <v>142560</v>
      </c>
      <c r="L102" s="35">
        <f t="shared" si="3"/>
        <v>414823431.00000006</v>
      </c>
      <c r="M102" s="35">
        <f t="shared" si="3"/>
        <v>-3677</v>
      </c>
      <c r="N102" s="35">
        <f>SUM(N8:N101)</f>
        <v>-426102</v>
      </c>
    </row>
  </sheetData>
  <sheetProtection selectLockedCells="1" selectUnlockedCells="1"/>
  <mergeCells count="12">
    <mergeCell ref="A1:N1"/>
    <mergeCell ref="A2:N2"/>
    <mergeCell ref="A3:N3"/>
    <mergeCell ref="A4:B6"/>
    <mergeCell ref="C4:D5"/>
    <mergeCell ref="E4:J4"/>
    <mergeCell ref="K4:L5"/>
    <mergeCell ref="M4:N5"/>
    <mergeCell ref="E5:F5"/>
    <mergeCell ref="G5:H5"/>
    <mergeCell ref="I5:J5"/>
    <mergeCell ref="A7:B7"/>
  </mergeCells>
  <printOptions/>
  <pageMargins left="0.7479166666666667" right="0.7479166666666667" top="0.9840277777777777" bottom="0.9840277777777777" header="0.5" footer="0.5"/>
  <pageSetup horizontalDpi="300" verticalDpi="300" orientation="landscape" paperSize="9" scale="70"/>
  <headerFooter alignWithMargins="0">
    <oddHeader>&amp;L&amp;"Arial,Dőlt"Vámospércs Városi Önkormányzat&amp;R&amp;"Arial,Dőlt"6. számú melléklet</oddHeader>
    <oddFooter>&amp;C&amp;P. oldal</oddFooter>
  </headerFooter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22" sqref="F22"/>
    </sheetView>
  </sheetViews>
  <sheetFormatPr defaultColWidth="8.00390625" defaultRowHeight="12.75"/>
  <cols>
    <col min="1" max="1" width="4.7109375" style="304" customWidth="1"/>
    <col min="2" max="2" width="4.00390625" style="304" customWidth="1"/>
    <col min="3" max="3" width="5.00390625" style="304" customWidth="1"/>
    <col min="4" max="4" width="57.140625" style="305" customWidth="1"/>
    <col min="5" max="5" width="16.7109375" style="306" customWidth="1"/>
    <col min="6" max="6" width="17.421875" style="306" customWidth="1"/>
    <col min="7" max="16384" width="8.00390625" style="304" customWidth="1"/>
  </cols>
  <sheetData>
    <row r="1" spans="1:6" ht="26.25" customHeight="1">
      <c r="A1" s="307"/>
      <c r="E1" s="308"/>
      <c r="F1" s="308"/>
    </row>
    <row r="2" spans="1:6" ht="27.75" customHeight="1">
      <c r="A2" s="309" t="s">
        <v>317</v>
      </c>
      <c r="B2" s="309"/>
      <c r="C2" s="309"/>
      <c r="D2" s="309"/>
      <c r="E2" s="309"/>
      <c r="F2" s="309"/>
    </row>
    <row r="3" spans="1:6" ht="44.25" customHeight="1">
      <c r="A3" s="310"/>
      <c r="B3" s="310"/>
      <c r="C3" s="310"/>
      <c r="D3" s="311"/>
      <c r="E3" s="312"/>
      <c r="F3" s="313" t="s">
        <v>318</v>
      </c>
    </row>
    <row r="4" spans="1:6" s="319" customFormat="1" ht="12.75">
      <c r="A4" s="314" t="s">
        <v>319</v>
      </c>
      <c r="B4" s="315"/>
      <c r="C4" s="316"/>
      <c r="D4" s="317"/>
      <c r="E4" s="318" t="s">
        <v>320</v>
      </c>
      <c r="F4" s="318" t="s">
        <v>321</v>
      </c>
    </row>
    <row r="5" spans="1:6" s="319" customFormat="1" ht="12.75">
      <c r="A5" s="320" t="s">
        <v>322</v>
      </c>
      <c r="B5" s="321" t="s">
        <v>323</v>
      </c>
      <c r="C5" s="320" t="s">
        <v>324</v>
      </c>
      <c r="D5" s="322" t="s">
        <v>325</v>
      </c>
      <c r="E5" s="323" t="s">
        <v>326</v>
      </c>
      <c r="F5" s="323" t="s">
        <v>327</v>
      </c>
    </row>
    <row r="6" spans="1:6" s="319" customFormat="1" ht="17.25" customHeight="1">
      <c r="A6" s="320" t="s">
        <v>328</v>
      </c>
      <c r="B6" s="321"/>
      <c r="C6" s="320"/>
      <c r="D6" s="324"/>
      <c r="E6" s="323" t="s">
        <v>329</v>
      </c>
      <c r="F6" s="323" t="s">
        <v>330</v>
      </c>
    </row>
    <row r="7" spans="1:6" s="330" customFormat="1" ht="36" customHeight="1">
      <c r="A7" s="325" t="s">
        <v>51</v>
      </c>
      <c r="B7" s="326"/>
      <c r="C7" s="327"/>
      <c r="D7" s="328" t="s">
        <v>331</v>
      </c>
      <c r="E7" s="329"/>
      <c r="F7" s="329"/>
    </row>
    <row r="8" spans="1:6" s="330" customFormat="1" ht="30.75" customHeight="1">
      <c r="A8" s="331"/>
      <c r="B8" s="332" t="s">
        <v>1</v>
      </c>
      <c r="C8" s="333"/>
      <c r="D8" s="334" t="s">
        <v>332</v>
      </c>
      <c r="E8" s="335"/>
      <c r="F8" s="335"/>
    </row>
    <row r="9" spans="1:6" s="340" customFormat="1" ht="19.5" customHeight="1">
      <c r="A9" s="336"/>
      <c r="B9" s="337"/>
      <c r="C9" s="336" t="s">
        <v>1</v>
      </c>
      <c r="D9" s="338" t="s">
        <v>333</v>
      </c>
      <c r="E9" s="339">
        <f>SUM(E10:E12)</f>
        <v>45.5</v>
      </c>
      <c r="F9" s="339">
        <f>SUM(F10:F13)</f>
        <v>94</v>
      </c>
    </row>
    <row r="10" spans="1:6" s="345" customFormat="1" ht="19.5" customHeight="1">
      <c r="A10" s="341"/>
      <c r="B10" s="342"/>
      <c r="C10" s="341"/>
      <c r="D10" s="343" t="s">
        <v>334</v>
      </c>
      <c r="E10" s="344">
        <v>34</v>
      </c>
      <c r="F10" s="344">
        <v>31</v>
      </c>
    </row>
    <row r="11" spans="1:6" s="345" customFormat="1" ht="19.5" customHeight="1">
      <c r="A11" s="341"/>
      <c r="B11" s="342"/>
      <c r="C11" s="341"/>
      <c r="D11" s="343" t="s">
        <v>335</v>
      </c>
      <c r="E11" s="344">
        <v>0</v>
      </c>
      <c r="F11" s="344">
        <v>0</v>
      </c>
    </row>
    <row r="12" spans="1:6" s="346" customFormat="1" ht="19.5" customHeight="1">
      <c r="A12" s="341"/>
      <c r="B12" s="342"/>
      <c r="C12" s="341"/>
      <c r="D12" s="343" t="s">
        <v>336</v>
      </c>
      <c r="E12" s="344">
        <v>11.5</v>
      </c>
      <c r="F12" s="344">
        <v>8</v>
      </c>
    </row>
    <row r="13" spans="1:6" s="346" customFormat="1" ht="19.5" customHeight="1">
      <c r="A13" s="341"/>
      <c r="B13" s="342"/>
      <c r="C13" s="341"/>
      <c r="D13" s="343" t="s">
        <v>337</v>
      </c>
      <c r="E13" s="344"/>
      <c r="F13" s="344">
        <f>27+28</f>
        <v>55</v>
      </c>
    </row>
    <row r="14" spans="1:6" s="352" customFormat="1" ht="34.5" customHeight="1">
      <c r="A14" s="347"/>
      <c r="B14" s="348" t="s">
        <v>1</v>
      </c>
      <c r="C14" s="349" t="s">
        <v>15</v>
      </c>
      <c r="D14" s="350" t="s">
        <v>338</v>
      </c>
      <c r="E14" s="351">
        <f>46+1+1+8+4.5+16</f>
        <v>76.5</v>
      </c>
      <c r="F14" s="351">
        <v>76</v>
      </c>
    </row>
    <row r="15" spans="1:6" s="345" customFormat="1" ht="33.75" customHeight="1">
      <c r="A15" s="336"/>
      <c r="B15" s="353"/>
      <c r="C15" s="354" t="s">
        <v>17</v>
      </c>
      <c r="D15" s="350" t="s">
        <v>339</v>
      </c>
      <c r="E15" s="355">
        <f>27+6+6</f>
        <v>39</v>
      </c>
      <c r="F15" s="355">
        <v>38</v>
      </c>
    </row>
    <row r="16" spans="1:6" s="346" customFormat="1" ht="23.25" customHeight="1">
      <c r="A16" s="341"/>
      <c r="B16" s="356"/>
      <c r="C16" s="357" t="s">
        <v>19</v>
      </c>
      <c r="D16" s="358" t="s">
        <v>36</v>
      </c>
      <c r="E16" s="344">
        <f>7+4</f>
        <v>11</v>
      </c>
      <c r="F16" s="344">
        <v>10</v>
      </c>
    </row>
    <row r="17" spans="1:6" s="346" customFormat="1" ht="23.25" customHeight="1">
      <c r="A17" s="341"/>
      <c r="B17" s="356"/>
      <c r="C17" s="357" t="s">
        <v>21</v>
      </c>
      <c r="D17" s="358" t="s">
        <v>340</v>
      </c>
      <c r="E17" s="344">
        <v>16</v>
      </c>
      <c r="F17" s="344">
        <v>14</v>
      </c>
    </row>
    <row r="18" spans="1:6" s="340" customFormat="1" ht="23.25" customHeight="1">
      <c r="A18" s="336"/>
      <c r="B18" s="353"/>
      <c r="C18" s="357" t="s">
        <v>23</v>
      </c>
      <c r="D18" s="359" t="s">
        <v>341</v>
      </c>
      <c r="E18" s="339">
        <v>4</v>
      </c>
      <c r="F18" s="339">
        <v>3</v>
      </c>
    </row>
    <row r="19" spans="1:7" s="340" customFormat="1" ht="23.25" customHeight="1">
      <c r="A19" s="336"/>
      <c r="B19" s="353"/>
      <c r="C19" s="357" t="s">
        <v>25</v>
      </c>
      <c r="D19" s="360" t="s">
        <v>342</v>
      </c>
      <c r="E19" s="339">
        <f>6+3+4</f>
        <v>13</v>
      </c>
      <c r="F19" s="339">
        <v>8</v>
      </c>
      <c r="G19" s="361"/>
    </row>
    <row r="20" spans="1:6" s="352" customFormat="1" ht="36.75" customHeight="1">
      <c r="A20" s="362" t="s">
        <v>51</v>
      </c>
      <c r="B20" s="363"/>
      <c r="C20" s="364"/>
      <c r="D20" s="365" t="s">
        <v>316</v>
      </c>
      <c r="E20" s="366">
        <f>SUM(E9,E14:E19)</f>
        <v>205</v>
      </c>
      <c r="F20" s="366">
        <f>SUM(F9,F14:F19)</f>
        <v>243</v>
      </c>
    </row>
  </sheetData>
  <sheetProtection selectLockedCells="1" selectUnlockedCells="1"/>
  <mergeCells count="1">
    <mergeCell ref="A2:F2"/>
  </mergeCells>
  <printOptions horizontalCentered="1"/>
  <pageMargins left="0.55" right="0.5798611111111112" top="0.8798611111111112" bottom="0.2361111111111111" header="0.5902777777777778" footer="0.5118055555555555"/>
  <pageSetup horizontalDpi="300" verticalDpi="300" orientation="portrait" paperSize="9" scale="85"/>
  <headerFooter alignWithMargins="0">
    <oddHeader>&amp;L&amp;"Arial,Félkövér dőlt"&amp;11Vámospércs Városi Önkormányzata&amp;R&amp;"Arial,Félkövér dőlt"&amp;11 7. sz. melléket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workbookViewId="0" topLeftCell="A1">
      <selection activeCell="A2" sqref="A2"/>
    </sheetView>
  </sheetViews>
  <sheetFormatPr defaultColWidth="9.140625" defaultRowHeight="12.75"/>
  <cols>
    <col min="1" max="1" width="34.421875" style="367" customWidth="1"/>
    <col min="2" max="2" width="8.140625" style="367" customWidth="1"/>
    <col min="3" max="3" width="8.28125" style="367" customWidth="1"/>
    <col min="4" max="4" width="7.00390625" style="367" customWidth="1"/>
    <col min="5" max="5" width="8.28125" style="367" customWidth="1"/>
    <col min="6" max="7" width="8.00390625" style="367" customWidth="1"/>
    <col min="8" max="8" width="11.00390625" style="368" customWidth="1"/>
    <col min="9" max="9" width="16.28125" style="368" customWidth="1"/>
    <col min="10" max="16384" width="9.140625" style="368" customWidth="1"/>
  </cols>
  <sheetData>
    <row r="2" spans="1:8" s="370" customFormat="1" ht="37.5" customHeight="1">
      <c r="A2" s="369" t="s">
        <v>343</v>
      </c>
      <c r="B2" s="369"/>
      <c r="C2" s="369"/>
      <c r="D2" s="369"/>
      <c r="E2" s="369"/>
      <c r="F2" s="369"/>
      <c r="G2" s="369"/>
      <c r="H2" s="369"/>
    </row>
    <row r="3" ht="20.25" customHeight="1">
      <c r="H3" s="371" t="s">
        <v>169</v>
      </c>
    </row>
    <row r="4" spans="1:8" s="375" customFormat="1" ht="24" customHeight="1">
      <c r="A4" s="372" t="s">
        <v>344</v>
      </c>
      <c r="B4" s="372"/>
      <c r="C4" s="373" t="s">
        <v>55</v>
      </c>
      <c r="D4" s="373" t="s">
        <v>345</v>
      </c>
      <c r="E4" s="373" t="s">
        <v>346</v>
      </c>
      <c r="F4" s="373" t="s">
        <v>347</v>
      </c>
      <c r="G4" s="373" t="s">
        <v>348</v>
      </c>
      <c r="H4" s="374" t="s">
        <v>349</v>
      </c>
    </row>
    <row r="5" spans="1:8" s="378" customFormat="1" ht="30" customHeight="1">
      <c r="A5" s="376" t="s">
        <v>31</v>
      </c>
      <c r="B5" s="377" t="s">
        <v>350</v>
      </c>
      <c r="C5" s="373"/>
      <c r="D5" s="373"/>
      <c r="E5" s="373"/>
      <c r="F5" s="373"/>
      <c r="G5" s="373"/>
      <c r="H5" s="374"/>
    </row>
    <row r="6" spans="1:8" ht="27.75" customHeight="1">
      <c r="A6" s="379" t="s">
        <v>351</v>
      </c>
      <c r="B6" s="380" t="s">
        <v>352</v>
      </c>
      <c r="C6" s="381"/>
      <c r="D6" s="381"/>
      <c r="E6" s="381">
        <f>84+3+21+74+78+56</f>
        <v>316</v>
      </c>
      <c r="F6" s="381"/>
      <c r="G6" s="381"/>
      <c r="H6" s="382">
        <f aca="true" t="shared" si="0" ref="H6:H36">SUM(C6:G6)</f>
        <v>316</v>
      </c>
    </row>
    <row r="7" spans="1:8" ht="24.75" customHeight="1">
      <c r="A7" s="383" t="s">
        <v>353</v>
      </c>
      <c r="B7" s="384">
        <v>221214</v>
      </c>
      <c r="C7" s="385">
        <v>80</v>
      </c>
      <c r="D7" s="385">
        <f>9+2+8</f>
        <v>19</v>
      </c>
      <c r="E7" s="385">
        <f>24+615+101+576</f>
        <v>1316</v>
      </c>
      <c r="F7" s="385"/>
      <c r="G7" s="385"/>
      <c r="H7" s="386">
        <f t="shared" si="0"/>
        <v>1415</v>
      </c>
    </row>
    <row r="8" spans="1:8" ht="15.75" customHeight="1">
      <c r="A8" s="383" t="s">
        <v>354</v>
      </c>
      <c r="B8" s="384">
        <v>452014</v>
      </c>
      <c r="C8" s="385"/>
      <c r="D8" s="385"/>
      <c r="E8" s="385"/>
      <c r="F8" s="385"/>
      <c r="G8" s="385"/>
      <c r="H8" s="386">
        <f t="shared" si="0"/>
        <v>0</v>
      </c>
    </row>
    <row r="9" spans="1:8" ht="15.75" customHeight="1">
      <c r="A9" s="383" t="s">
        <v>355</v>
      </c>
      <c r="B9" s="384">
        <v>452025</v>
      </c>
      <c r="C9" s="385"/>
      <c r="D9" s="385"/>
      <c r="E9" s="385"/>
      <c r="F9" s="385"/>
      <c r="G9" s="385"/>
      <c r="H9" s="386">
        <f t="shared" si="0"/>
        <v>0</v>
      </c>
    </row>
    <row r="10" spans="1:8" ht="17.25" customHeight="1">
      <c r="A10" s="383" t="s">
        <v>356</v>
      </c>
      <c r="B10" s="384">
        <v>631211</v>
      </c>
      <c r="C10" s="385"/>
      <c r="D10" s="385"/>
      <c r="E10" s="385">
        <f>27+6</f>
        <v>33</v>
      </c>
      <c r="F10" s="385"/>
      <c r="G10" s="385"/>
      <c r="H10" s="386">
        <f t="shared" si="0"/>
        <v>33</v>
      </c>
    </row>
    <row r="11" spans="1:8" ht="26.25" customHeight="1">
      <c r="A11" s="383" t="s">
        <v>357</v>
      </c>
      <c r="B11" s="384">
        <v>701015</v>
      </c>
      <c r="C11" s="385"/>
      <c r="D11" s="385"/>
      <c r="E11" s="385">
        <f>3+255+977+108+473+377+77</f>
        <v>2270</v>
      </c>
      <c r="F11" s="385"/>
      <c r="G11" s="385"/>
      <c r="H11" s="386">
        <f t="shared" si="0"/>
        <v>2270</v>
      </c>
    </row>
    <row r="12" spans="1:8" ht="31.5" customHeight="1">
      <c r="A12" s="383" t="s">
        <v>358</v>
      </c>
      <c r="B12" s="384">
        <v>751153</v>
      </c>
      <c r="C12" s="387">
        <f>64291+2079+263+719+448+292+1745+119+1163+39+2970+1446+885+51+2651+155+722+2190+144+1148+478+1210+13+747+240+15042+1080+154+1472</f>
        <v>103956</v>
      </c>
      <c r="D12" s="387">
        <f>23969+70+3615+8+481+2177+917+30+18+473</f>
        <v>31758</v>
      </c>
      <c r="E12" s="387">
        <f>2750+266+72+245+484+192+874+246+149+2019+95+90+1021+182+1194+1157+344+667+8340+90+3953+3723+768+358+3252+14632+1631+270+1803+79+4148+6953+8353-1043</f>
        <v>69357</v>
      </c>
      <c r="F12" s="388">
        <v>11286</v>
      </c>
      <c r="G12" s="388"/>
      <c r="H12" s="386">
        <f t="shared" si="0"/>
        <v>216357</v>
      </c>
    </row>
    <row r="13" spans="1:8" ht="31.5" customHeight="1">
      <c r="A13" s="383" t="s">
        <v>359</v>
      </c>
      <c r="B13" s="384"/>
      <c r="C13" s="387">
        <v>15042</v>
      </c>
      <c r="D13" s="387">
        <v>4107</v>
      </c>
      <c r="E13" s="387"/>
      <c r="F13" s="388"/>
      <c r="G13" s="388"/>
      <c r="H13" s="386">
        <f t="shared" si="0"/>
        <v>19149</v>
      </c>
    </row>
    <row r="14" spans="1:9" ht="31.5" customHeight="1">
      <c r="A14" s="383" t="s">
        <v>360</v>
      </c>
      <c r="B14" s="384">
        <v>751175</v>
      </c>
      <c r="C14" s="387">
        <f>469+240</f>
        <v>709</v>
      </c>
      <c r="D14" s="387">
        <f>111+19+2+23</f>
        <v>155</v>
      </c>
      <c r="E14" s="387">
        <f>73+4+17+6+15+135</f>
        <v>250</v>
      </c>
      <c r="F14" s="388"/>
      <c r="G14" s="388"/>
      <c r="H14" s="386">
        <f>SUM(C14:G14)</f>
        <v>1114</v>
      </c>
      <c r="I14" s="389"/>
    </row>
    <row r="15" spans="1:8" ht="29.25" customHeight="1">
      <c r="A15" s="383" t="s">
        <v>361</v>
      </c>
      <c r="B15" s="384">
        <v>751757</v>
      </c>
      <c r="C15" s="387">
        <f>669+8136+22+59+53+20+54</f>
        <v>9013</v>
      </c>
      <c r="D15" s="387">
        <f>246+1810+46+242+5+38+192+173+3+16</f>
        <v>2771</v>
      </c>
      <c r="E15" s="387">
        <f>86+19+2+15</f>
        <v>122</v>
      </c>
      <c r="F15" s="388"/>
      <c r="G15" s="388"/>
      <c r="H15" s="386">
        <f>SUM(C15:G15)</f>
        <v>11906</v>
      </c>
    </row>
    <row r="16" spans="1:8" ht="23.25" customHeight="1">
      <c r="A16" s="383" t="s">
        <v>362</v>
      </c>
      <c r="B16" s="384">
        <v>751791</v>
      </c>
      <c r="C16" s="387">
        <f>13455+55+25+20+25551+170</f>
        <v>39276</v>
      </c>
      <c r="D16" s="387">
        <f>4751+467+99+309+532+31+45</f>
        <v>6234</v>
      </c>
      <c r="E16" s="387">
        <f>74+28+58+50+14+41+4</f>
        <v>269</v>
      </c>
      <c r="F16" s="388"/>
      <c r="G16" s="388"/>
      <c r="H16" s="386">
        <f t="shared" si="0"/>
        <v>45779</v>
      </c>
    </row>
    <row r="17" spans="1:8" ht="15.75" customHeight="1">
      <c r="A17" s="383" t="s">
        <v>363</v>
      </c>
      <c r="B17" s="384">
        <v>751834</v>
      </c>
      <c r="C17" s="387"/>
      <c r="D17" s="387"/>
      <c r="E17" s="387"/>
      <c r="F17" s="390">
        <v>24</v>
      </c>
      <c r="G17" s="388"/>
      <c r="H17" s="386">
        <f t="shared" si="0"/>
        <v>24</v>
      </c>
    </row>
    <row r="18" spans="1:8" ht="24.75" customHeight="1">
      <c r="A18" s="383" t="s">
        <v>364</v>
      </c>
      <c r="B18" s="384">
        <v>751845</v>
      </c>
      <c r="C18" s="385">
        <f>3616+380+199+77+71+324</f>
        <v>4667</v>
      </c>
      <c r="D18" s="385">
        <f>20+1089+4+147+23+104+104</f>
        <v>1491</v>
      </c>
      <c r="E18" s="385">
        <f>19+1422+544+14+7+129+300+533+111+319+161+44+469+900+922+21+24+47+1490</f>
        <v>7476</v>
      </c>
      <c r="F18" s="385"/>
      <c r="G18" s="385"/>
      <c r="H18" s="386">
        <f t="shared" si="0"/>
        <v>13634</v>
      </c>
    </row>
    <row r="19" spans="1:8" ht="15.75" customHeight="1">
      <c r="A19" s="383" t="s">
        <v>365</v>
      </c>
      <c r="B19" s="384">
        <v>751878</v>
      </c>
      <c r="C19" s="385"/>
      <c r="D19" s="385"/>
      <c r="E19" s="385">
        <f>7858+1642+10</f>
        <v>9510</v>
      </c>
      <c r="F19" s="385"/>
      <c r="G19" s="385"/>
      <c r="H19" s="386">
        <f t="shared" si="0"/>
        <v>9510</v>
      </c>
    </row>
    <row r="20" spans="1:8" ht="15.75" customHeight="1">
      <c r="A20" s="383" t="s">
        <v>366</v>
      </c>
      <c r="B20" s="384">
        <v>751922</v>
      </c>
      <c r="C20" s="385"/>
      <c r="D20" s="385"/>
      <c r="E20" s="385"/>
      <c r="F20" s="385">
        <v>8486</v>
      </c>
      <c r="G20" s="385"/>
      <c r="H20" s="386">
        <f t="shared" si="0"/>
        <v>8486</v>
      </c>
    </row>
    <row r="21" spans="1:8" ht="25.5" customHeight="1">
      <c r="A21" s="383" t="s">
        <v>367</v>
      </c>
      <c r="B21" s="384">
        <v>751966</v>
      </c>
      <c r="C21" s="385"/>
      <c r="D21" s="385"/>
      <c r="E21" s="385"/>
      <c r="F21" s="385"/>
      <c r="G21" s="385"/>
      <c r="H21" s="386">
        <f t="shared" si="0"/>
        <v>0</v>
      </c>
    </row>
    <row r="22" spans="1:8" ht="15.75" customHeight="1">
      <c r="A22" s="383" t="s">
        <v>368</v>
      </c>
      <c r="B22" s="384">
        <v>751999</v>
      </c>
      <c r="C22" s="385"/>
      <c r="D22" s="385"/>
      <c r="E22" s="385"/>
      <c r="F22" s="385">
        <v>27747</v>
      </c>
      <c r="G22" s="385"/>
      <c r="H22" s="386">
        <f t="shared" si="0"/>
        <v>27747</v>
      </c>
    </row>
    <row r="23" spans="1:8" ht="15.75" customHeight="1">
      <c r="A23" s="383" t="s">
        <v>369</v>
      </c>
      <c r="B23" s="384">
        <v>852018</v>
      </c>
      <c r="C23" s="385"/>
      <c r="D23" s="385"/>
      <c r="E23" s="385">
        <f>129+27+31</f>
        <v>187</v>
      </c>
      <c r="F23" s="385"/>
      <c r="G23" s="385"/>
      <c r="H23" s="386">
        <f t="shared" si="0"/>
        <v>187</v>
      </c>
    </row>
    <row r="24" spans="1:8" ht="15.75" customHeight="1">
      <c r="A24" s="383" t="s">
        <v>370</v>
      </c>
      <c r="B24" s="384">
        <v>853170</v>
      </c>
      <c r="C24" s="385"/>
      <c r="D24" s="385"/>
      <c r="E24" s="385"/>
      <c r="F24" s="385"/>
      <c r="G24" s="385"/>
      <c r="H24" s="386">
        <f t="shared" si="0"/>
        <v>0</v>
      </c>
    </row>
    <row r="25" spans="1:8" ht="26.25" customHeight="1">
      <c r="A25" s="383" t="s">
        <v>371</v>
      </c>
      <c r="B25" s="384">
        <v>853288</v>
      </c>
      <c r="C25" s="385"/>
      <c r="D25" s="385"/>
      <c r="E25" s="385">
        <v>3</v>
      </c>
      <c r="F25" s="385"/>
      <c r="G25" s="385"/>
      <c r="H25" s="386">
        <f t="shared" si="0"/>
        <v>3</v>
      </c>
    </row>
    <row r="26" spans="1:8" ht="26.25" customHeight="1">
      <c r="A26" s="383" t="s">
        <v>372</v>
      </c>
      <c r="B26" s="384">
        <v>853311</v>
      </c>
      <c r="C26" s="385"/>
      <c r="D26" s="385">
        <f>4+4253</f>
        <v>4257</v>
      </c>
      <c r="E26" s="385"/>
      <c r="F26" s="385"/>
      <c r="G26" s="385">
        <f>33663+3263+1302+400+77357+2293+30937+9372+8388+30+1+6761+93+3746</f>
        <v>177606</v>
      </c>
      <c r="H26" s="386">
        <f t="shared" si="0"/>
        <v>181863</v>
      </c>
    </row>
    <row r="27" spans="1:8" ht="25.5" customHeight="1">
      <c r="A27" s="383" t="s">
        <v>373</v>
      </c>
      <c r="B27" s="384">
        <v>853322</v>
      </c>
      <c r="C27" s="385">
        <v>60</v>
      </c>
      <c r="D27" s="385"/>
      <c r="E27" s="385"/>
      <c r="F27" s="385"/>
      <c r="G27" s="385">
        <f>5+3278</f>
        <v>3283</v>
      </c>
      <c r="H27" s="386">
        <f t="shared" si="0"/>
        <v>3343</v>
      </c>
    </row>
    <row r="28" spans="1:8" ht="18" customHeight="1">
      <c r="A28" s="383" t="s">
        <v>374</v>
      </c>
      <c r="B28" s="384">
        <v>853344</v>
      </c>
      <c r="C28" s="385"/>
      <c r="D28" s="385"/>
      <c r="E28" s="385"/>
      <c r="F28" s="385"/>
      <c r="G28" s="385">
        <f>1431+207+2604+1053+352</f>
        <v>5647</v>
      </c>
      <c r="H28" s="386">
        <f t="shared" si="0"/>
        <v>5647</v>
      </c>
    </row>
    <row r="29" spans="1:8" ht="12.75">
      <c r="A29" s="383" t="s">
        <v>375</v>
      </c>
      <c r="B29" s="384">
        <v>853355</v>
      </c>
      <c r="C29" s="385"/>
      <c r="D29" s="385"/>
      <c r="E29" s="385"/>
      <c r="F29" s="385"/>
      <c r="G29" s="385">
        <f>300+7952+-5</f>
        <v>8247</v>
      </c>
      <c r="H29" s="386">
        <f t="shared" si="0"/>
        <v>8247</v>
      </c>
    </row>
    <row r="30" spans="1:8" ht="12.75">
      <c r="A30" s="383" t="s">
        <v>376</v>
      </c>
      <c r="B30" s="384">
        <v>901116</v>
      </c>
      <c r="C30" s="385"/>
      <c r="D30" s="385"/>
      <c r="E30" s="385">
        <f>160+32+661+43+124+140</f>
        <v>1160</v>
      </c>
      <c r="F30" s="385"/>
      <c r="G30" s="385"/>
      <c r="H30" s="386">
        <f t="shared" si="0"/>
        <v>1160</v>
      </c>
    </row>
    <row r="31" spans="1:8" ht="12.75">
      <c r="A31" s="383" t="s">
        <v>377</v>
      </c>
      <c r="B31" s="384">
        <v>902113</v>
      </c>
      <c r="C31" s="385"/>
      <c r="D31" s="385"/>
      <c r="E31" s="385"/>
      <c r="F31" s="385"/>
      <c r="G31" s="385"/>
      <c r="H31" s="386">
        <f t="shared" si="0"/>
        <v>0</v>
      </c>
    </row>
    <row r="32" spans="1:8" ht="12.75">
      <c r="A32" s="383" t="s">
        <v>378</v>
      </c>
      <c r="B32" s="384">
        <v>921420</v>
      </c>
      <c r="C32" s="385"/>
      <c r="D32" s="385"/>
      <c r="E32" s="385">
        <v>2200</v>
      </c>
      <c r="F32" s="385"/>
      <c r="G32" s="385"/>
      <c r="H32" s="386">
        <f t="shared" si="0"/>
        <v>2200</v>
      </c>
    </row>
    <row r="33" spans="1:8" ht="12.75">
      <c r="A33" s="383" t="s">
        <v>379</v>
      </c>
      <c r="B33" s="384">
        <v>921815</v>
      </c>
      <c r="C33" s="385"/>
      <c r="D33" s="385"/>
      <c r="E33" s="385"/>
      <c r="F33" s="385"/>
      <c r="G33" s="385"/>
      <c r="H33" s="386">
        <f t="shared" si="0"/>
        <v>0</v>
      </c>
    </row>
    <row r="34" spans="1:8" ht="12.75">
      <c r="A34" s="383" t="s">
        <v>380</v>
      </c>
      <c r="B34" s="384">
        <v>924014</v>
      </c>
      <c r="C34" s="385">
        <f>698+696+24+28+57+1440+662</f>
        <v>3605</v>
      </c>
      <c r="D34" s="385">
        <f>35+782+7+115+16+56+33+50</f>
        <v>1094</v>
      </c>
      <c r="E34" s="385">
        <f>174+5+1+121+6+29+684+820+119+3025+1075+8</f>
        <v>6067</v>
      </c>
      <c r="F34" s="385"/>
      <c r="G34" s="385"/>
      <c r="H34" s="386">
        <f t="shared" si="0"/>
        <v>10766</v>
      </c>
    </row>
    <row r="35" spans="1:8" ht="12.75">
      <c r="A35" s="383" t="s">
        <v>381</v>
      </c>
      <c r="B35" s="384">
        <v>930316</v>
      </c>
      <c r="C35" s="385"/>
      <c r="D35" s="385"/>
      <c r="E35" s="385">
        <f>252+6+50</f>
        <v>308</v>
      </c>
      <c r="F35" s="385"/>
      <c r="G35" s="385"/>
      <c r="H35" s="386">
        <f t="shared" si="0"/>
        <v>308</v>
      </c>
    </row>
    <row r="36" spans="1:8" ht="12.75">
      <c r="A36" s="383" t="s">
        <v>382</v>
      </c>
      <c r="B36" s="384">
        <v>930932</v>
      </c>
      <c r="C36" s="385"/>
      <c r="D36" s="385"/>
      <c r="E36" s="385">
        <f>10+53+34+254+18+42+17+90</f>
        <v>518</v>
      </c>
      <c r="F36" s="385"/>
      <c r="G36" s="385"/>
      <c r="H36" s="386">
        <f t="shared" si="0"/>
        <v>518</v>
      </c>
    </row>
    <row r="37" spans="1:8" ht="12.75">
      <c r="A37" s="391" t="s">
        <v>316</v>
      </c>
      <c r="B37" s="392"/>
      <c r="C37" s="393">
        <f aca="true" t="shared" si="1" ref="C37:H37">SUM(C6:C12,C14:C36)</f>
        <v>161366</v>
      </c>
      <c r="D37" s="393">
        <f t="shared" si="1"/>
        <v>47779</v>
      </c>
      <c r="E37" s="393">
        <f t="shared" si="1"/>
        <v>101362</v>
      </c>
      <c r="F37" s="393">
        <f t="shared" si="1"/>
        <v>47543</v>
      </c>
      <c r="G37" s="393">
        <f t="shared" si="1"/>
        <v>194783</v>
      </c>
      <c r="H37" s="393">
        <f t="shared" si="1"/>
        <v>552833</v>
      </c>
    </row>
  </sheetData>
  <sheetProtection selectLockedCells="1" selectUnlockedCells="1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42986111111111114" right="0.3798611111111111" top="0.9840277777777777" bottom="0.9840277777777777" header="0.5" footer="0.5118055555555555"/>
  <pageSetup fitToHeight="1" fitToWidth="1" horizontalDpi="300" verticalDpi="300" orientation="portrait" paperSize="9"/>
  <headerFooter alignWithMargins="0">
    <oddHeader>&amp;L&amp;"Arial,Félkövér dőlt"Vámospércs Város Önkormányzata&amp;R&amp;"Arial,Félkövér dőlt"8.sz.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rendelet, rendeletek, 2009</dc:title>
  <dc:subject/>
  <dc:creator>Polgármesteri Hivatal Hajdúsámson</dc:creator>
  <cp:keywords/>
  <dc:description/>
  <cp:lastModifiedBy>User</cp:lastModifiedBy>
  <cp:lastPrinted>2010-04-26T08:44:06Z</cp:lastPrinted>
  <dcterms:created xsi:type="dcterms:W3CDTF">2009-01-08T14:34:47Z</dcterms:created>
  <dcterms:modified xsi:type="dcterms:W3CDTF">2010-04-26T08:48:25Z</dcterms:modified>
  <cp:category/>
  <cp:version/>
  <cp:contentType/>
  <cp:contentStatus/>
</cp:coreProperties>
</file>