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4"/>
  </bookViews>
  <sheets>
    <sheet name="7.sz m IV,mód" sheetId="1" r:id="rId1"/>
    <sheet name="15.m. IV.mód" sheetId="2" r:id="rId2"/>
    <sheet name="14.m IV. mód" sheetId="3" r:id="rId3"/>
    <sheet name="beruházások" sheetId="4" r:id="rId4"/>
    <sheet name="2.sz.m.V.mód" sheetId="5" r:id="rId5"/>
  </sheets>
  <externalReferences>
    <externalReference r:id="rId8"/>
    <externalReference r:id="rId9"/>
  </externalReferences>
  <definedNames>
    <definedName name="_xlnm.Print_Area" localSheetId="4">'2.sz.m.V.mód'!$A$1:$L$421</definedName>
    <definedName name="aaaaa">#REF!</definedName>
    <definedName name="aaaaaa">#REF!</definedName>
    <definedName name="Excel_BuiltIn_Database">#REF!</definedName>
    <definedName name="ADATBÁZIS_MÉ">#REF!</definedName>
    <definedName name="f">#REF!</definedName>
    <definedName name="Excel_BuiltIn_Extract">#REF!</definedName>
    <definedName name="KIGYŰJTÉS_MÉ">#REF!</definedName>
    <definedName name="kk">#REF!</definedName>
    <definedName name="KRITÉRIUM_MÉ">#REF!</definedName>
    <definedName name="Excel_BuiltIn_Criteria">#REF!</definedName>
  </definedNames>
  <calcPr fullCalcOnLoad="1"/>
</workbook>
</file>

<file path=xl/sharedStrings.xml><?xml version="1.0" encoding="utf-8"?>
<sst xmlns="http://schemas.openxmlformats.org/spreadsheetml/2006/main" count="1577" uniqueCount="263">
  <si>
    <t xml:space="preserve">Az Önkormányzat és intézményei 2009. évi költségvetési létszámkerete </t>
  </si>
  <si>
    <t>fő</t>
  </si>
  <si>
    <t>Fe-</t>
  </si>
  <si>
    <t>Engedélyezett</t>
  </si>
  <si>
    <t>je-</t>
  </si>
  <si>
    <t>cím</t>
  </si>
  <si>
    <t>alcím</t>
  </si>
  <si>
    <t>M e g n e v e z é s</t>
  </si>
  <si>
    <t>dolgozói létszám</t>
  </si>
  <si>
    <t>zet</t>
  </si>
  <si>
    <t>2009. év er.ei.</t>
  </si>
  <si>
    <t xml:space="preserve">2009. év mód. ei.  </t>
  </si>
  <si>
    <t>I.</t>
  </si>
  <si>
    <t>Önkormányzati finanszírozású intézmények</t>
  </si>
  <si>
    <t>1.</t>
  </si>
  <si>
    <t>Polgármesteri Hivatal és részben önálló intézményei</t>
  </si>
  <si>
    <t>Polgármesteri Hivatal</t>
  </si>
  <si>
    <t xml:space="preserve">   - köztisztviselők</t>
  </si>
  <si>
    <t xml:space="preserve">   - önkormányzati közalkalmazott</t>
  </si>
  <si>
    <t xml:space="preserve">   - MT hatálya alá tartozó munkavállalók</t>
  </si>
  <si>
    <t>8.</t>
  </si>
  <si>
    <t>Vámospércs-Újléta Közoktatási Intézményfenntartó Társulás Általános Iskola</t>
  </si>
  <si>
    <t>9.</t>
  </si>
  <si>
    <t>Vámospércs-Újléta Közoktatási Intézményfenntartó Társulás Óvoda</t>
  </si>
  <si>
    <t>10.</t>
  </si>
  <si>
    <t>Szociális Szolgáltató Központ</t>
  </si>
  <si>
    <t>11.</t>
  </si>
  <si>
    <t>Mikrotérségi Családsegítő- és Gyermekjóléti Int.Társulás</t>
  </si>
  <si>
    <t>12.</t>
  </si>
  <si>
    <t>Művelődési Ház- és Könyvtár</t>
  </si>
  <si>
    <t>13.</t>
  </si>
  <si>
    <t>Vámospércs Intézményi Konyhák</t>
  </si>
  <si>
    <t>Összesen:</t>
  </si>
  <si>
    <t>Az önkormányzat 2009. évi  költségvetésében biztosított tartalékok kimutatása</t>
  </si>
  <si>
    <t>adatok ezer forintban</t>
  </si>
  <si>
    <t>Megnevezés</t>
  </si>
  <si>
    <t>Eredeti előirányzat</t>
  </si>
  <si>
    <t>Javasolt módosítás</t>
  </si>
  <si>
    <t>Módosított előirányzat</t>
  </si>
  <si>
    <t>Általános tartalék</t>
  </si>
  <si>
    <t>2.</t>
  </si>
  <si>
    <t>Felhalmozási célú tartalék</t>
  </si>
  <si>
    <t xml:space="preserve">ZÁROLT TÉTELEK </t>
  </si>
  <si>
    <t>a 2009. évi költségvetésből</t>
  </si>
  <si>
    <t>e Ft-ban</t>
  </si>
  <si>
    <t>Javasolt módosítások</t>
  </si>
  <si>
    <t>Módosított előriányzat</t>
  </si>
  <si>
    <t>Személyi juttatás</t>
  </si>
  <si>
    <t>Munka-adót terh.jár.</t>
  </si>
  <si>
    <t>Dologi jell. Kiadás</t>
  </si>
  <si>
    <t>Szoc.pol. Ellátás</t>
  </si>
  <si>
    <t>Pénzeszk. Átadás</t>
  </si>
  <si>
    <t>Összesen</t>
  </si>
  <si>
    <t>Elvonás</t>
  </si>
  <si>
    <t>Feloldás</t>
  </si>
  <si>
    <t>751153 Önk.ig.tevékenység szakfeladat</t>
  </si>
  <si>
    <t xml:space="preserve"> - pü. gyeses álláshely támogatottal bet.</t>
  </si>
  <si>
    <t xml:space="preserve"> - tervezett jutalomkeret</t>
  </si>
  <si>
    <t xml:space="preserve"> - jubileumi jutalom</t>
  </si>
  <si>
    <t xml:space="preserve"> -  uszodagépész támogatottal betöltve</t>
  </si>
  <si>
    <t xml:space="preserve"> -  uszoda takarítói állás támogatottal bet.</t>
  </si>
  <si>
    <t xml:space="preserve"> - szám.tech.eszközök karbantartása</t>
  </si>
  <si>
    <t xml:space="preserve"> - Vp. Humánszolg.KHT-nak tervezettből</t>
  </si>
  <si>
    <t xml:space="preserve"> - Vp.-Ny.adony Köztest.Tűzoltóság</t>
  </si>
  <si>
    <t xml:space="preserve"> - egyéb non-profit sz.támog.-ból</t>
  </si>
  <si>
    <t xml:space="preserve"> - rendelkezésre álllási tám.-ból</t>
  </si>
  <si>
    <t>014034 Kisegítő mezőgazd.szolg.</t>
  </si>
  <si>
    <t xml:space="preserve"> - parkosítás tervezett 720e-ből </t>
  </si>
  <si>
    <t>221214 Lapkiadás</t>
  </si>
  <si>
    <t xml:space="preserve"> - szerkesztési díj tervezett 600e-ből</t>
  </si>
  <si>
    <t xml:space="preserve"> - példányszám csökk. Terv.830e-ből</t>
  </si>
  <si>
    <t>631211 Utak fenntartása</t>
  </si>
  <si>
    <t xml:space="preserve"> - utak kátyuzására terv 2400e-ből</t>
  </si>
  <si>
    <t>Polgármesteri Hivatal összesen</t>
  </si>
  <si>
    <t>Vámospércs Általános Iskola</t>
  </si>
  <si>
    <t>805212 Pedagógiai szakszolgálat</t>
  </si>
  <si>
    <t xml:space="preserve"> - logopédus álláshelyen alacsonyabb bér</t>
  </si>
  <si>
    <t>Kiadások összesen:</t>
  </si>
  <si>
    <t>Az önkormányzat 2009. évi beruházási kiadásai feladatonként (a több éves pénzügyi kihatások bemutatásával együtt)</t>
  </si>
  <si>
    <t>E Ft-ban</t>
  </si>
  <si>
    <t>S.</t>
  </si>
  <si>
    <t>Intézmény neve</t>
  </si>
  <si>
    <t>Bekerülési költség</t>
  </si>
  <si>
    <t>Bekerülési költségből</t>
  </si>
  <si>
    <t>2008.12.31.-ig felh.</t>
  </si>
  <si>
    <t>2009. évi előirányzat</t>
  </si>
  <si>
    <t>2010. évi előirányzat</t>
  </si>
  <si>
    <t>2011.évi előirányzat</t>
  </si>
  <si>
    <t>sz.</t>
  </si>
  <si>
    <t xml:space="preserve">Kezdési </t>
  </si>
  <si>
    <t>Beruházás</t>
  </si>
  <si>
    <t>Felújítás</t>
  </si>
  <si>
    <t xml:space="preserve">Saját </t>
  </si>
  <si>
    <t>támogatás</t>
  </si>
  <si>
    <t>Kiadás</t>
  </si>
  <si>
    <t>Feladat, cél megnevezése</t>
  </si>
  <si>
    <t>év</t>
  </si>
  <si>
    <t>forrás</t>
  </si>
  <si>
    <t>összesen</t>
  </si>
  <si>
    <t>ÖNKORMÁNYZATI BERUHÁZÁSOK</t>
  </si>
  <si>
    <t xml:space="preserve">ÁROP-2007-1.A.2/A Polgármesteri hivatal szervezetfejlesztése c. pályázat önrésze </t>
  </si>
  <si>
    <t>ÉAOP-4.1.3/B Vámospércs bölcsöde létesítése Eredeti előir.</t>
  </si>
  <si>
    <t>ÉAOP-4.1.3/B Vámospércs bölcsöde létesítése Eddigi mód.</t>
  </si>
  <si>
    <t>ÉAOP-4.1.3/B Vámospércs bölcsöde létesítése Jelenlegi mód.</t>
  </si>
  <si>
    <t>ÉAOP-4.1.3/B Vámospércs bölcsöde létesítése Mód. előir.</t>
  </si>
  <si>
    <t>3.</t>
  </si>
  <si>
    <t>KEOP-1.2.0 Vp.-Ny.falva tel. szennyvízelvez. és tisztítás I.</t>
  </si>
  <si>
    <t>4.</t>
  </si>
  <si>
    <t>ÉAOP-5.1.1/E A városi közösségi szolgáltatások körének bővítése Vámospércsen</t>
  </si>
  <si>
    <r>
      <t>TIOP-2007-2.1.2. Vámospércs Egészségügyi Központ kialakítása</t>
    </r>
    <r>
      <rPr>
        <vertAlign val="superscript"/>
        <sz val="12"/>
        <rFont val="Times New Roman CE"/>
        <family val="1"/>
      </rPr>
      <t xml:space="preserve">* </t>
    </r>
    <r>
      <rPr>
        <sz val="12"/>
        <rFont val="Times New Roman CE"/>
        <family val="1"/>
      </rPr>
      <t>Eredeti előir.</t>
    </r>
  </si>
  <si>
    <r>
      <t>TIOP-2007-2.1.2. Vámospércs Egészségügyi Központ kialakítása</t>
    </r>
    <r>
      <rPr>
        <vertAlign val="superscript"/>
        <sz val="12"/>
        <rFont val="Times New Roman CE"/>
        <family val="1"/>
      </rPr>
      <t xml:space="preserve">* </t>
    </r>
    <r>
      <rPr>
        <sz val="12"/>
        <rFont val="Times New Roman CE"/>
        <family val="1"/>
      </rPr>
      <t>Eddigi mód.</t>
    </r>
  </si>
  <si>
    <r>
      <t>TIOP-2007-2.1.2. Vámospércs Egészségügyi Központ kialakítása</t>
    </r>
    <r>
      <rPr>
        <vertAlign val="superscript"/>
        <sz val="12"/>
        <rFont val="Times New Roman CE"/>
        <family val="1"/>
      </rPr>
      <t xml:space="preserve">** </t>
    </r>
    <r>
      <rPr>
        <sz val="12"/>
        <rFont val="Times New Roman CE"/>
        <family val="1"/>
      </rPr>
      <t>Jelenlegi mód.</t>
    </r>
  </si>
  <si>
    <r>
      <t>TIOP-2007-2.1.2. Vámospércs Egészségügyi Központ kialakítása</t>
    </r>
    <r>
      <rPr>
        <b/>
        <vertAlign val="superscript"/>
        <sz val="12"/>
        <rFont val="Times New Roman CE"/>
        <family val="1"/>
      </rPr>
      <t xml:space="preserve">** </t>
    </r>
    <r>
      <rPr>
        <b/>
        <sz val="12"/>
        <rFont val="Times New Roman CE"/>
        <family val="1"/>
      </rPr>
      <t>Mód</t>
    </r>
    <r>
      <rPr>
        <b/>
        <vertAlign val="superscript"/>
        <sz val="12"/>
        <rFont val="Times New Roman CE"/>
        <family val="1"/>
      </rPr>
      <t>.</t>
    </r>
    <r>
      <rPr>
        <b/>
        <sz val="12"/>
        <rFont val="Times New Roman CE"/>
        <family val="1"/>
      </rPr>
      <t xml:space="preserve"> előir.</t>
    </r>
  </si>
  <si>
    <t>5.</t>
  </si>
  <si>
    <t>Számítástechnikai eszközk beszerzése a Polg. Hivatalba</t>
  </si>
  <si>
    <t>Számítástechnikai eszközk beszerzése a Polg. Hivatalba Jelenlegi mód.</t>
  </si>
  <si>
    <t>Számítástechnikai eszközk beszerzése a Polg. Hivatalba Mód. Előir.</t>
  </si>
  <si>
    <t>6.</t>
  </si>
  <si>
    <t>Részletes Rendezési Terv készítése</t>
  </si>
  <si>
    <t>7.</t>
  </si>
  <si>
    <t>Utak építése Eredeti előir.</t>
  </si>
  <si>
    <t>2009.</t>
  </si>
  <si>
    <t>"Vámospércs Szabadság- Zrínyi- Homok utcák szilárd burkolattal történő ellátása" Eddigi mód.</t>
  </si>
  <si>
    <t>"Vámospércs Szabadság- Zrínyi- Homok utcák szilárd burkolattal történő ellátása" Jelenlegi módosítás</t>
  </si>
  <si>
    <t>"Vámospércs Szabadság- Zrínyi- Homok utcák szilárd burkolattal történő ellátása" (TEKI) Mód.előir.</t>
  </si>
  <si>
    <t>Temető bővítés</t>
  </si>
  <si>
    <t>"Vámospércs Művelődési Ház bővítésének befejezése" Eddigi mód.</t>
  </si>
  <si>
    <t>"Vámospércs Művelődési Ház bővítésének befejezése" Jelenlegi mód.</t>
  </si>
  <si>
    <t>"Vámospércs Művelődési Ház bővítésének befejezése" (CEDE) Mód. Előir.</t>
  </si>
  <si>
    <t>Fűnyiró traktor vásárlása Eddigi mód.</t>
  </si>
  <si>
    <t>Fűnyiró traktor vásárlása Jelenlegi mód.</t>
  </si>
  <si>
    <t>Fűnyiró traktor vásárlása Mód. Előir.</t>
  </si>
  <si>
    <t>Felszíni vízelvezetés jelenlegi mód.</t>
  </si>
  <si>
    <t>Felszíni vízelvezetés mód. Előir.</t>
  </si>
  <si>
    <t>BERUHÁZÁSOK ÖSSZESEN Er. Előirányzat</t>
  </si>
  <si>
    <t>BERUHÁZÁSOK ÖSSZESEN Eddigi módosítás</t>
  </si>
  <si>
    <t>BERUHÁZÁSOK ÖSSZESEN Jelenlegi módosítás</t>
  </si>
  <si>
    <t>BERUHÁZÁSOK ÖSSZESEN Módosított előirányzat</t>
  </si>
  <si>
    <t>* A pályázathoz önerőként a telek értéke van tervezve 52.600e Ft összegben. Kiadásként fog jelentkezni nyertes pályázat esetén a közművesítés</t>
  </si>
  <si>
    <t xml:space="preserve">** A pályázathoz önerőként a telek értéke van tervezve, amely módosított előirányzata 43.833e Ft. A terület közművesítésére árajánlatokat kell bekérni, </t>
  </si>
  <si>
    <t>és annak függvényében előirányzatot biztosítani a költésgvetési rendeletben.</t>
  </si>
  <si>
    <t>Vámospércs Városi Önkormányzat és CKÖ 2009. évre tervezett bevételeinek és kiadásainak mérlege</t>
  </si>
  <si>
    <t>Fejezet: 1+2</t>
  </si>
  <si>
    <t>2. számú melléklet</t>
  </si>
  <si>
    <t>Sor-szám</t>
  </si>
  <si>
    <t>Bevételek</t>
  </si>
  <si>
    <t>2009. évi terv</t>
  </si>
  <si>
    <t>Eddigi módosítás</t>
  </si>
  <si>
    <t>Jelenlegi módosítás</t>
  </si>
  <si>
    <t xml:space="preserve">Mód. előir. </t>
  </si>
  <si>
    <t xml:space="preserve">Kiadások  </t>
  </si>
  <si>
    <t>Működési bevételek</t>
  </si>
  <si>
    <t>Működési kiadások</t>
  </si>
  <si>
    <t>Intézményi bevételek</t>
  </si>
  <si>
    <t>Önk. sajátos  műk.bevételek</t>
  </si>
  <si>
    <t>II</t>
  </si>
  <si>
    <t>Munkaadókat terhelő járulékok</t>
  </si>
  <si>
    <t xml:space="preserve"> 2.2.</t>
  </si>
  <si>
    <t xml:space="preserve"> - helyi adók</t>
  </si>
  <si>
    <t>III.</t>
  </si>
  <si>
    <t>Dologi jellegű kiadások</t>
  </si>
  <si>
    <t xml:space="preserve"> 2.3.</t>
  </si>
  <si>
    <t xml:space="preserve"> - Átengedett központi adók</t>
  </si>
  <si>
    <t>V.</t>
  </si>
  <si>
    <t>Speciális ellátások, támogatások</t>
  </si>
  <si>
    <t xml:space="preserve"> 2.4.</t>
  </si>
  <si>
    <t xml:space="preserve"> - Bírságok, pótlékok, egyéb sajátos b.</t>
  </si>
  <si>
    <t>Támogatásértékű kiadások</t>
  </si>
  <si>
    <t>II.</t>
  </si>
  <si>
    <t>Támogatások</t>
  </si>
  <si>
    <t>Véglegesen átadott péneszközök (műk-i)</t>
  </si>
  <si>
    <t>Önk. költségvetési támogatása</t>
  </si>
  <si>
    <t>Társadalom és szoc. pol. jutt.</t>
  </si>
  <si>
    <t xml:space="preserve"> 1.1.</t>
  </si>
  <si>
    <t xml:space="preserve"> - normatív hozzájárulások</t>
  </si>
  <si>
    <t>Pénzbeli kártérítés</t>
  </si>
  <si>
    <t xml:space="preserve"> 1.2.</t>
  </si>
  <si>
    <t xml:space="preserve"> - központosított előirányzatok</t>
  </si>
  <si>
    <t>Ellátottak egyéb pénzbeli juttatása</t>
  </si>
  <si>
    <t xml:space="preserve"> 1.4.</t>
  </si>
  <si>
    <t xml:space="preserve"> - normatív kötött felhasználású támog.</t>
  </si>
  <si>
    <t>IV.1.</t>
  </si>
  <si>
    <t>Támogatásértékű bevétel (működési)</t>
  </si>
  <si>
    <t>VII.</t>
  </si>
  <si>
    <t>Hitelek nyújtása, törlesztése (műk-i)</t>
  </si>
  <si>
    <t>V. 1.</t>
  </si>
  <si>
    <t>Véglegesen átvett pénzeszközök (műk-i)</t>
  </si>
  <si>
    <t>VIII.</t>
  </si>
  <si>
    <t>Pénzforgalom nélküli kiadások</t>
  </si>
  <si>
    <t>ebből: OEP finanszírozás</t>
  </si>
  <si>
    <t>céltartalék</t>
  </si>
  <si>
    <t>VII</t>
  </si>
  <si>
    <t>Hitelek (működési célú)</t>
  </si>
  <si>
    <t>általános tartalék</t>
  </si>
  <si>
    <t>Előző évi pénzmaradvány igénybevétele</t>
  </si>
  <si>
    <t>Működési bevételek összesen:</t>
  </si>
  <si>
    <t>Közvetlen működési kiadások összesen:</t>
  </si>
  <si>
    <t>Működési hiány</t>
  </si>
  <si>
    <t>Felosztott általános kiadások</t>
  </si>
  <si>
    <t>Felhalmozási bevételek</t>
  </si>
  <si>
    <t>Működési kiadások összesen:</t>
  </si>
  <si>
    <t>I.1.</t>
  </si>
  <si>
    <t>Intézményi bevételekből felh.-i célú</t>
  </si>
  <si>
    <t>Működési többlet</t>
  </si>
  <si>
    <t>I.2.2.</t>
  </si>
  <si>
    <t>Helyi adókból felhalmozási célú</t>
  </si>
  <si>
    <t>Felhalmozási kiadások</t>
  </si>
  <si>
    <t>II.1.1.</t>
  </si>
  <si>
    <t>Normatív hozzájár.-ból felh.-i célú</t>
  </si>
  <si>
    <t>Dologi jellegű kiadásokból felhalm-i</t>
  </si>
  <si>
    <t>II.1.5.</t>
  </si>
  <si>
    <t>Fejlesztési célú támogatások</t>
  </si>
  <si>
    <t>Felhalmozási és tőkejellegű bevételek</t>
  </si>
  <si>
    <t>Tárgyi eszközök, immat.j. értékesítése</t>
  </si>
  <si>
    <t>Véglegesen átadott péneszközök (felh-i)</t>
  </si>
  <si>
    <t>Önk.-ok sajátos felh-i és tőkebevételei</t>
  </si>
  <si>
    <t>VI.</t>
  </si>
  <si>
    <t>Felhalmozási kiadás és pü. befekt.</t>
  </si>
  <si>
    <t>Pénzügyi befektetések bevételei</t>
  </si>
  <si>
    <t>IV.2.</t>
  </si>
  <si>
    <t>Támogatásértékű bevétel (felhalmozási)</t>
  </si>
  <si>
    <t>V. 2.</t>
  </si>
  <si>
    <t>Véglegesen átvett pénzeszközök (felh-i)</t>
  </si>
  <si>
    <t>Pénzügyi befektetések kiadásai</t>
  </si>
  <si>
    <t>T.kölcsön visszatér., ért.papír kibocs.bev.</t>
  </si>
  <si>
    <t>Hitelek (felhalmozási célú)</t>
  </si>
  <si>
    <t>Felhalmozási bevételek összesen:</t>
  </si>
  <si>
    <t>Felhalmozási kiadások összesen:</t>
  </si>
  <si>
    <t>Önk. és CKÖ bevétel összesen</t>
  </si>
  <si>
    <t>Önk. és CKÖ kiadás összesen</t>
  </si>
  <si>
    <t>Felhalmozási hiány</t>
  </si>
  <si>
    <t>Felhalmozási többlet</t>
  </si>
  <si>
    <t>Összes hiány</t>
  </si>
  <si>
    <t>Összes többlet</t>
  </si>
  <si>
    <t xml:space="preserve"> BEVÉTELEK ÖSSZESEN:</t>
  </si>
  <si>
    <t xml:space="preserve"> KIADÁSOK ÖSSZESEN:</t>
  </si>
  <si>
    <t>Vámospércs  Cigány Kisebbségi Önkormányzat 2009. évre tervezett bevételeinek és kiadásainak mérlege</t>
  </si>
  <si>
    <t>Fejezet: 2</t>
  </si>
  <si>
    <t>25.</t>
  </si>
  <si>
    <t>26.</t>
  </si>
  <si>
    <t>27.</t>
  </si>
  <si>
    <t>Vp. Cigány Kisebbségi Önk. Össz.</t>
  </si>
  <si>
    <t>29.</t>
  </si>
  <si>
    <t>Vámospércs Városi Önkormányzat és intézményei 2009. évre tervezett bevételeinek és kiadásainak mérlege</t>
  </si>
  <si>
    <t>Fejezet: 1</t>
  </si>
  <si>
    <t>ÖNK.-I BEVÉTELEK ÖSSZESEN:</t>
  </si>
  <si>
    <t>ÖNK-I KIADÁSOK ÖSSZESEN:</t>
  </si>
  <si>
    <t>Vámospércs Polgármesteri Hivatal 2009. évre tervezett bevételeinek és kiadásainak mérlege</t>
  </si>
  <si>
    <t xml:space="preserve"> - központosított előirányzatok, ÖNHIKI</t>
  </si>
  <si>
    <t>Helyi adókból és áteng. felhalm. célú</t>
  </si>
  <si>
    <t>Fejlesztési célú támogatások, központ.</t>
  </si>
  <si>
    <t>Vámospércs-Újléta Közoktatási Intézményfenntartó Társulás (Iskola) 2009. évre tervezett bevételeinek és kiadásainak mérlege</t>
  </si>
  <si>
    <t>Vp-Újl. Közokt.Int. Társ. Iskola össz.</t>
  </si>
  <si>
    <t>Vámospércs-Újléta Közoktatási Intézményfenntartó Társulás (Óvoda) 2009. évre tervezett bevételeinek és kiadásainak mérlege</t>
  </si>
  <si>
    <t>Vp-Újl. Közokt.Int. Társ. Óvoda össz.</t>
  </si>
  <si>
    <t>Szociális Szolgáltató Központ 2009. évre tervezett bevételeinek és kiadásainak mérlege</t>
  </si>
  <si>
    <t>Szoc. Szolgáltató Központ összesen</t>
  </si>
  <si>
    <t>Mikrotérségi Családsegítő- és Gyermekjóléti Intézményfenntartó Társulás 2009. évre tervezett bevételeinek és kiadásainak mérlege</t>
  </si>
  <si>
    <t>Mikrotérségi Családs.- és Gy.j. Int. Társ</t>
  </si>
  <si>
    <t>Művelődési Ház és Könyvtár 2009. évre tervezett bevételeinek és kiadásainak mérlege</t>
  </si>
  <si>
    <t>Művelődési Ház és Könyvtár összesen</t>
  </si>
  <si>
    <t>Intézményi Konyhák 2009. évre tervezett bevételeinek és kiadásainak mérlege</t>
  </si>
  <si>
    <t>Intézményi Konyhák 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</si>
</sst>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"/>
    <numFmt numFmtId="167" formatCode="@"/>
    <numFmt numFmtId="168" formatCode="0.0"/>
    <numFmt numFmtId="169" formatCode="#,###"/>
    <numFmt numFmtId="170" formatCode="MMM\ D/"/>
  </numFmts>
  <fonts count="28"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 vertical="center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86">
    <xf numFmtId="164" fontId="0" fillId="0" borderId="0" xfId="0" applyAlignment="1">
      <alignment/>
    </xf>
    <xf numFmtId="164" fontId="3" fillId="0" borderId="0" xfId="21" applyFont="1">
      <alignment/>
      <protection/>
    </xf>
    <xf numFmtId="164" fontId="3" fillId="0" borderId="0" xfId="21" applyFont="1" applyAlignment="1">
      <alignment shrinkToFit="1"/>
      <protection/>
    </xf>
    <xf numFmtId="166" fontId="3" fillId="0" borderId="0" xfId="21" applyNumberFormat="1" applyFont="1">
      <alignment/>
      <protection/>
    </xf>
    <xf numFmtId="164" fontId="4" fillId="0" borderId="0" xfId="21" applyFont="1">
      <alignment/>
      <protection/>
    </xf>
    <xf numFmtId="166" fontId="4" fillId="0" borderId="0" xfId="21" applyNumberFormat="1" applyFont="1" applyAlignment="1">
      <alignment horizontal="right"/>
      <protection/>
    </xf>
    <xf numFmtId="164" fontId="5" fillId="0" borderId="0" xfId="21" applyFont="1" applyBorder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4" fontId="4" fillId="0" borderId="0" xfId="21" applyFont="1" applyAlignment="1">
      <alignment horizontal="right" shrinkToFit="1"/>
      <protection/>
    </xf>
    <xf numFmtId="166" fontId="6" fillId="0" borderId="0" xfId="21" applyNumberFormat="1" applyFont="1" applyAlignment="1">
      <alignment horizontal="center"/>
      <protection/>
    </xf>
    <xf numFmtId="166" fontId="2" fillId="0" borderId="0" xfId="21" applyNumberFormat="1" applyFont="1" applyAlignment="1">
      <alignment horizontal="right"/>
      <protection/>
    </xf>
    <xf numFmtId="164" fontId="7" fillId="2" borderId="1" xfId="21" applyFont="1" applyFill="1" applyBorder="1" applyAlignment="1">
      <alignment horizontal="center" shrinkToFit="1"/>
      <protection/>
    </xf>
    <xf numFmtId="164" fontId="7" fillId="2" borderId="2" xfId="21" applyFont="1" applyFill="1" applyBorder="1" applyAlignment="1">
      <alignment horizontal="center" shrinkToFit="1"/>
      <protection/>
    </xf>
    <xf numFmtId="164" fontId="7" fillId="2" borderId="3" xfId="21" applyFont="1" applyFill="1" applyBorder="1" applyAlignment="1">
      <alignment horizontal="center" shrinkToFit="1"/>
      <protection/>
    </xf>
    <xf numFmtId="164" fontId="2" fillId="2" borderId="4" xfId="21" applyFont="1" applyFill="1" applyBorder="1" applyAlignment="1">
      <alignment shrinkToFit="1"/>
      <protection/>
    </xf>
    <xf numFmtId="166" fontId="8" fillId="2" borderId="5" xfId="21" applyNumberFormat="1" applyFont="1" applyFill="1" applyBorder="1" applyAlignment="1">
      <alignment horizontal="center" shrinkToFit="1"/>
      <protection/>
    </xf>
    <xf numFmtId="164" fontId="7" fillId="2" borderId="6" xfId="21" applyFont="1" applyFill="1" applyBorder="1" applyAlignment="1">
      <alignment horizontal="center" shrinkToFit="1"/>
      <protection/>
    </xf>
    <xf numFmtId="164" fontId="7" fillId="2" borderId="7" xfId="21" applyFont="1" applyFill="1" applyBorder="1" applyAlignment="1">
      <alignment horizontal="center" shrinkToFit="1"/>
      <protection/>
    </xf>
    <xf numFmtId="167" fontId="5" fillId="2" borderId="7" xfId="21" applyNumberFormat="1" applyFont="1" applyFill="1" applyBorder="1" applyAlignment="1">
      <alignment horizontal="center" vertical="center" shrinkToFit="1"/>
      <protection/>
    </xf>
    <xf numFmtId="166" fontId="8" fillId="2" borderId="8" xfId="21" applyNumberFormat="1" applyFont="1" applyFill="1" applyBorder="1" applyAlignment="1">
      <alignment horizontal="center" shrinkToFit="1"/>
      <protection/>
    </xf>
    <xf numFmtId="167" fontId="7" fillId="2" borderId="7" xfId="21" applyNumberFormat="1" applyFont="1" applyFill="1" applyBorder="1" applyAlignment="1">
      <alignment horizontal="center" vertical="center" shrinkToFit="1"/>
      <protection/>
    </xf>
    <xf numFmtId="164" fontId="5" fillId="2" borderId="9" xfId="21" applyFont="1" applyFill="1" applyBorder="1" applyAlignment="1">
      <alignment horizontal="center" vertical="center"/>
      <protection/>
    </xf>
    <xf numFmtId="164" fontId="1" fillId="2" borderId="10" xfId="21" applyFont="1" applyFill="1" applyBorder="1" applyAlignment="1">
      <alignment horizontal="center" vertical="center"/>
      <protection/>
    </xf>
    <xf numFmtId="164" fontId="1" fillId="2" borderId="9" xfId="21" applyFont="1" applyFill="1" applyBorder="1" applyAlignment="1">
      <alignment horizontal="center" vertical="center"/>
      <protection/>
    </xf>
    <xf numFmtId="164" fontId="5" fillId="2" borderId="11" xfId="21" applyFont="1" applyFill="1" applyBorder="1" applyAlignment="1">
      <alignment vertical="center" shrinkToFit="1"/>
      <protection/>
    </xf>
    <xf numFmtId="166" fontId="9" fillId="2" borderId="12" xfId="21" applyNumberFormat="1" applyFont="1" applyFill="1" applyBorder="1" applyAlignment="1">
      <alignment vertical="center"/>
      <protection/>
    </xf>
    <xf numFmtId="164" fontId="5" fillId="2" borderId="13" xfId="21" applyFont="1" applyFill="1" applyBorder="1" applyAlignment="1">
      <alignment horizontal="center" vertical="center"/>
      <protection/>
    </xf>
    <xf numFmtId="164" fontId="9" fillId="2" borderId="7" xfId="21" applyFont="1" applyFill="1" applyBorder="1" applyAlignment="1">
      <alignment horizontal="center" vertical="center"/>
      <protection/>
    </xf>
    <xf numFmtId="164" fontId="1" fillId="2" borderId="13" xfId="21" applyFont="1" applyFill="1" applyBorder="1" applyAlignment="1">
      <alignment horizontal="center" vertical="center"/>
      <protection/>
    </xf>
    <xf numFmtId="164" fontId="5" fillId="0" borderId="14" xfId="21" applyFont="1" applyFill="1" applyBorder="1" applyAlignment="1">
      <alignment vertical="center" shrinkToFit="1"/>
      <protection/>
    </xf>
    <xf numFmtId="166" fontId="9" fillId="0" borderId="8" xfId="21" applyNumberFormat="1" applyFont="1" applyFill="1" applyBorder="1" applyAlignment="1">
      <alignment vertical="center"/>
      <protection/>
    </xf>
    <xf numFmtId="164" fontId="10" fillId="2" borderId="13" xfId="21" applyFont="1" applyFill="1" applyBorder="1" applyAlignment="1">
      <alignment horizontal="center"/>
      <protection/>
    </xf>
    <xf numFmtId="164" fontId="10" fillId="2" borderId="7" xfId="21" applyFont="1" applyFill="1" applyBorder="1" applyAlignment="1">
      <alignment horizontal="center"/>
      <protection/>
    </xf>
    <xf numFmtId="168" fontId="6" fillId="0" borderId="14" xfId="21" applyNumberFormat="1" applyFont="1" applyFill="1" applyBorder="1" applyAlignment="1">
      <alignment vertical="center" shrinkToFit="1"/>
      <protection/>
    </xf>
    <xf numFmtId="166" fontId="6" fillId="0" borderId="8" xfId="21" applyNumberFormat="1" applyFont="1" applyBorder="1">
      <alignment/>
      <protection/>
    </xf>
    <xf numFmtId="164" fontId="11" fillId="2" borderId="13" xfId="21" applyFont="1" applyFill="1" applyBorder="1" applyAlignment="1">
      <alignment horizontal="center"/>
      <protection/>
    </xf>
    <xf numFmtId="164" fontId="11" fillId="2" borderId="7" xfId="21" applyFont="1" applyFill="1" applyBorder="1" applyAlignment="1">
      <alignment horizontal="center"/>
      <protection/>
    </xf>
    <xf numFmtId="168" fontId="12" fillId="0" borderId="14" xfId="21" applyNumberFormat="1" applyFont="1" applyFill="1" applyBorder="1" applyAlignment="1">
      <alignment vertical="center" shrinkToFit="1"/>
      <protection/>
    </xf>
    <xf numFmtId="166" fontId="12" fillId="0" borderId="8" xfId="21" applyNumberFormat="1" applyFont="1" applyBorder="1">
      <alignment/>
      <protection/>
    </xf>
    <xf numFmtId="164" fontId="13" fillId="2" borderId="15" xfId="21" applyFont="1" applyFill="1" applyBorder="1" applyAlignment="1">
      <alignment horizontal="center" vertical="center"/>
      <protection/>
    </xf>
    <xf numFmtId="167" fontId="13" fillId="2" borderId="16" xfId="21" applyNumberFormat="1" applyFont="1" applyFill="1" applyBorder="1" applyAlignment="1">
      <alignment horizontal="center" vertical="center"/>
      <protection/>
    </xf>
    <xf numFmtId="167" fontId="14" fillId="2" borderId="15" xfId="21" applyNumberFormat="1" applyFont="1" applyFill="1" applyBorder="1" applyAlignment="1">
      <alignment horizontal="center" vertical="center"/>
      <protection/>
    </xf>
    <xf numFmtId="167" fontId="14" fillId="0" borderId="17" xfId="21" applyNumberFormat="1" applyFont="1" applyBorder="1" applyAlignment="1">
      <alignment horizontal="left" vertical="center" wrapText="1" shrinkToFit="1"/>
      <protection/>
    </xf>
    <xf numFmtId="166" fontId="13" fillId="0" borderId="18" xfId="21" applyNumberFormat="1" applyFont="1" applyBorder="1" applyAlignment="1">
      <alignment vertical="center"/>
      <protection/>
    </xf>
    <xf numFmtId="167" fontId="10" fillId="2" borderId="7" xfId="21" applyNumberFormat="1" applyFont="1" applyFill="1" applyBorder="1" applyAlignment="1">
      <alignment horizontal="center"/>
      <protection/>
    </xf>
    <xf numFmtId="167" fontId="11" fillId="2" borderId="13" xfId="21" applyNumberFormat="1" applyFont="1" applyFill="1" applyBorder="1" applyAlignment="1">
      <alignment horizontal="center"/>
      <protection/>
    </xf>
    <xf numFmtId="166" fontId="10" fillId="0" borderId="8" xfId="21" applyNumberFormat="1" applyFont="1" applyBorder="1">
      <alignment/>
      <protection/>
    </xf>
    <xf numFmtId="167" fontId="11" fillId="2" borderId="7" xfId="21" applyNumberFormat="1" applyFont="1" applyFill="1" applyBorder="1" applyAlignment="1">
      <alignment horizontal="center"/>
      <protection/>
    </xf>
    <xf numFmtId="167" fontId="14" fillId="2" borderId="13" xfId="21" applyNumberFormat="1" applyFont="1" applyFill="1" applyBorder="1" applyAlignment="1">
      <alignment horizontal="center"/>
      <protection/>
    </xf>
    <xf numFmtId="167" fontId="14" fillId="0" borderId="14" xfId="21" applyNumberFormat="1" applyFont="1" applyBorder="1" applyAlignment="1">
      <alignment horizontal="left" vertical="center" wrapText="1" shrinkToFit="1"/>
      <protection/>
    </xf>
    <xf numFmtId="167" fontId="14" fillId="0" borderId="14" xfId="21" applyNumberFormat="1" applyFont="1" applyBorder="1" applyAlignment="1">
      <alignment horizontal="left" vertical="center" shrinkToFit="1"/>
      <protection/>
    </xf>
    <xf numFmtId="164" fontId="14" fillId="0" borderId="14" xfId="21" applyFont="1" applyFill="1" applyBorder="1" applyAlignment="1">
      <alignment vertical="center" shrinkToFit="1"/>
      <protection/>
    </xf>
    <xf numFmtId="164" fontId="13" fillId="2" borderId="9" xfId="21" applyFont="1" applyFill="1" applyBorder="1" applyAlignment="1">
      <alignment horizontal="center" vertical="center"/>
      <protection/>
    </xf>
    <xf numFmtId="164" fontId="14" fillId="2" borderId="10" xfId="21" applyFont="1" applyFill="1" applyBorder="1" applyAlignment="1">
      <alignment horizontal="center" vertical="center"/>
      <protection/>
    </xf>
    <xf numFmtId="164" fontId="14" fillId="2" borderId="9" xfId="21" applyFont="1" applyFill="1" applyBorder="1" applyAlignment="1">
      <alignment horizontal="center" vertical="center"/>
      <protection/>
    </xf>
    <xf numFmtId="168" fontId="1" fillId="2" borderId="11" xfId="21" applyNumberFormat="1" applyFont="1" applyFill="1" applyBorder="1" applyAlignment="1">
      <alignment horizontal="left" vertical="center" shrinkToFit="1"/>
      <protection/>
    </xf>
    <xf numFmtId="166" fontId="13" fillId="2" borderId="11" xfId="21" applyNumberFormat="1" applyFont="1" applyFill="1" applyBorder="1" applyAlignment="1">
      <alignment vertical="center"/>
      <protection/>
    </xf>
    <xf numFmtId="164" fontId="9" fillId="0" borderId="0" xfId="21" applyFont="1" applyBorder="1" applyAlignment="1">
      <alignment horizontal="center" vertical="center" wrapText="1"/>
      <protection/>
    </xf>
    <xf numFmtId="164" fontId="9" fillId="0" borderId="19" xfId="21" applyFont="1" applyBorder="1" applyAlignment="1">
      <alignment horizontal="center"/>
      <protection/>
    </xf>
    <xf numFmtId="164" fontId="0" fillId="0" borderId="0" xfId="0" applyFont="1" applyBorder="1" applyAlignment="1">
      <alignment horizontal="right"/>
    </xf>
    <xf numFmtId="164" fontId="4" fillId="0" borderId="20" xfId="21" applyFont="1" applyFill="1" applyBorder="1">
      <alignment/>
      <protection/>
    </xf>
    <xf numFmtId="164" fontId="5" fillId="0" borderId="20" xfId="21" applyFont="1" applyFill="1" applyBorder="1" applyAlignment="1">
      <alignment horizontal="center"/>
      <protection/>
    </xf>
    <xf numFmtId="164" fontId="5" fillId="0" borderId="20" xfId="21" applyFont="1" applyFill="1" applyBorder="1" applyAlignment="1">
      <alignment horizontal="center" vertical="center" wrapText="1"/>
      <protection/>
    </xf>
    <xf numFmtId="164" fontId="5" fillId="0" borderId="20" xfId="21" applyFont="1" applyFill="1" applyBorder="1" applyAlignment="1">
      <alignment horizontal="center" vertical="center"/>
      <protection/>
    </xf>
    <xf numFmtId="168" fontId="9" fillId="0" borderId="20" xfId="21" applyNumberFormat="1" applyFont="1" applyFill="1" applyBorder="1" applyAlignment="1">
      <alignment horizontal="left" vertical="center" shrinkToFit="1"/>
      <protection/>
    </xf>
    <xf numFmtId="165" fontId="5" fillId="0" borderId="20" xfId="21" applyNumberFormat="1" applyFont="1" applyFill="1" applyBorder="1" applyAlignment="1">
      <alignment vertical="center"/>
      <protection/>
    </xf>
    <xf numFmtId="164" fontId="9" fillId="0" borderId="20" xfId="21" applyFont="1" applyFill="1" applyBorder="1">
      <alignment/>
      <protection/>
    </xf>
    <xf numFmtId="164" fontId="9" fillId="0" borderId="20" xfId="21" applyFont="1" applyFill="1" applyBorder="1" applyAlignment="1">
      <alignment shrinkToFit="1"/>
      <protection/>
    </xf>
    <xf numFmtId="166" fontId="9" fillId="0" borderId="20" xfId="21" applyNumberFormat="1" applyFont="1" applyFill="1" applyBorder="1">
      <alignment/>
      <protection/>
    </xf>
    <xf numFmtId="164" fontId="4" fillId="0" borderId="0" xfId="21" applyFont="1" applyFill="1">
      <alignment/>
      <protection/>
    </xf>
    <xf numFmtId="164" fontId="3" fillId="0" borderId="0" xfId="21" applyFont="1" applyFill="1" applyAlignment="1">
      <alignment shrinkToFit="1"/>
      <protection/>
    </xf>
    <xf numFmtId="166" fontId="3" fillId="0" borderId="0" xfId="21" applyNumberFormat="1" applyFont="1" applyFill="1">
      <alignment/>
      <protection/>
    </xf>
    <xf numFmtId="164" fontId="7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right"/>
    </xf>
    <xf numFmtId="164" fontId="5" fillId="0" borderId="21" xfId="0" applyFont="1" applyBorder="1" applyAlignment="1">
      <alignment horizontal="center" vertical="center" wrapText="1"/>
    </xf>
    <xf numFmtId="164" fontId="7" fillId="0" borderId="21" xfId="0" applyFont="1" applyBorder="1" applyAlignment="1">
      <alignment horizontal="center" vertical="center" wrapText="1"/>
    </xf>
    <xf numFmtId="164" fontId="7" fillId="3" borderId="21" xfId="0" applyFont="1" applyFill="1" applyBorder="1" applyAlignment="1">
      <alignment/>
    </xf>
    <xf numFmtId="165" fontId="7" fillId="3" borderId="21" xfId="0" applyNumberFormat="1" applyFont="1" applyFill="1" applyBorder="1" applyAlignment="1">
      <alignment/>
    </xf>
    <xf numFmtId="164" fontId="7" fillId="0" borderId="21" xfId="0" applyFont="1" applyBorder="1" applyAlignment="1">
      <alignment/>
    </xf>
    <xf numFmtId="164" fontId="17" fillId="3" borderId="21" xfId="0" applyFont="1" applyFill="1" applyBorder="1" applyAlignment="1">
      <alignment/>
    </xf>
    <xf numFmtId="165" fontId="17" fillId="3" borderId="21" xfId="0" applyNumberFormat="1" applyFont="1" applyFill="1" applyBorder="1" applyAlignment="1">
      <alignment/>
    </xf>
    <xf numFmtId="164" fontId="17" fillId="0" borderId="21" xfId="0" applyFont="1" applyBorder="1" applyAlignment="1">
      <alignment/>
    </xf>
    <xf numFmtId="164" fontId="0" fillId="0" borderId="0" xfId="0" applyFont="1" applyAlignment="1">
      <alignment/>
    </xf>
    <xf numFmtId="165" fontId="17" fillId="0" borderId="21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4" fontId="9" fillId="0" borderId="0" xfId="23" applyFont="1" applyAlignment="1">
      <alignment horizontal="center"/>
      <protection/>
    </xf>
    <xf numFmtId="164" fontId="1" fillId="0" borderId="0" xfId="23" applyFont="1" applyAlignment="1">
      <alignment shrinkToFit="1"/>
      <protection/>
    </xf>
    <xf numFmtId="164" fontId="1" fillId="0" borderId="0" xfId="23" applyFont="1">
      <alignment/>
      <protection/>
    </xf>
    <xf numFmtId="164" fontId="9" fillId="0" borderId="0" xfId="23" applyFont="1" applyAlignment="1">
      <alignment horizontal="left" vertical="center"/>
      <protection/>
    </xf>
    <xf numFmtId="164" fontId="1" fillId="0" borderId="0" xfId="23" applyFont="1" applyAlignment="1">
      <alignment vertical="center" shrinkToFit="1"/>
      <protection/>
    </xf>
    <xf numFmtId="164" fontId="1" fillId="0" borderId="0" xfId="23" applyFont="1" applyAlignment="1">
      <alignment vertical="center"/>
      <protection/>
    </xf>
    <xf numFmtId="164" fontId="9" fillId="0" borderId="0" xfId="23" applyFont="1" applyAlignment="1">
      <alignment horizontal="right" vertical="center"/>
      <protection/>
    </xf>
    <xf numFmtId="164" fontId="18" fillId="0" borderId="0" xfId="23" applyFont="1" applyBorder="1" applyAlignment="1">
      <alignment horizontal="center"/>
      <protection/>
    </xf>
    <xf numFmtId="164" fontId="9" fillId="0" borderId="0" xfId="23" applyFont="1" applyAlignment="1">
      <alignment horizontal="center" vertical="center"/>
      <protection/>
    </xf>
    <xf numFmtId="164" fontId="1" fillId="0" borderId="19" xfId="23" applyFont="1" applyBorder="1" applyAlignment="1">
      <alignment vertical="center" shrinkToFit="1"/>
      <protection/>
    </xf>
    <xf numFmtId="164" fontId="1" fillId="0" borderId="19" xfId="23" applyFont="1" applyBorder="1" applyAlignment="1">
      <alignment vertical="center"/>
      <protection/>
    </xf>
    <xf numFmtId="164" fontId="19" fillId="0" borderId="0" xfId="23" applyFont="1" applyFill="1" applyAlignment="1">
      <alignment horizontal="right" vertical="center"/>
      <protection/>
    </xf>
    <xf numFmtId="164" fontId="9" fillId="2" borderId="3" xfId="23" applyFont="1" applyFill="1" applyBorder="1" applyAlignment="1">
      <alignment horizontal="center" vertical="center"/>
      <protection/>
    </xf>
    <xf numFmtId="164" fontId="9" fillId="2" borderId="2" xfId="23" applyFont="1" applyFill="1" applyBorder="1" applyAlignment="1">
      <alignment horizontal="center" vertical="center" shrinkToFit="1"/>
      <protection/>
    </xf>
    <xf numFmtId="164" fontId="9" fillId="2" borderId="4" xfId="23" applyFont="1" applyFill="1" applyBorder="1" applyAlignment="1">
      <alignment horizontal="center" vertical="center"/>
      <protection/>
    </xf>
    <xf numFmtId="164" fontId="9" fillId="2" borderId="22" xfId="23" applyFont="1" applyFill="1" applyBorder="1" applyAlignment="1">
      <alignment horizontal="center" vertical="center"/>
      <protection/>
    </xf>
    <xf numFmtId="164" fontId="9" fillId="2" borderId="23" xfId="23" applyFont="1" applyFill="1" applyBorder="1" applyAlignment="1">
      <alignment horizontal="center"/>
      <protection/>
    </xf>
    <xf numFmtId="164" fontId="9" fillId="2" borderId="22" xfId="23" applyFont="1" applyFill="1" applyBorder="1" applyAlignment="1">
      <alignment horizontal="center"/>
      <protection/>
    </xf>
    <xf numFmtId="164" fontId="9" fillId="2" borderId="23" xfId="23" applyFont="1" applyFill="1" applyBorder="1" applyAlignment="1">
      <alignment horizontal="center" vertical="center"/>
      <protection/>
    </xf>
    <xf numFmtId="164" fontId="9" fillId="2" borderId="23" xfId="23" applyFont="1" applyFill="1" applyBorder="1" applyAlignment="1">
      <alignment horizontal="center" wrapText="1"/>
      <protection/>
    </xf>
    <xf numFmtId="164" fontId="9" fillId="2" borderId="24" xfId="23" applyFont="1" applyFill="1" applyBorder="1" applyAlignment="1">
      <alignment horizontal="center" wrapText="1"/>
      <protection/>
    </xf>
    <xf numFmtId="164" fontId="9" fillId="2" borderId="6" xfId="23" applyFont="1" applyFill="1" applyBorder="1" applyAlignment="1">
      <alignment horizontal="center" vertical="center"/>
      <protection/>
    </xf>
    <xf numFmtId="164" fontId="9" fillId="2" borderId="25" xfId="23" applyFont="1" applyFill="1" applyBorder="1" applyAlignment="1">
      <alignment horizontal="center" vertical="center" shrinkToFit="1"/>
      <protection/>
    </xf>
    <xf numFmtId="164" fontId="9" fillId="2" borderId="7" xfId="23" applyFont="1" applyFill="1" applyBorder="1" applyAlignment="1">
      <alignment horizontal="center" vertical="center"/>
      <protection/>
    </xf>
    <xf numFmtId="164" fontId="9" fillId="2" borderId="14" xfId="23" applyFont="1" applyFill="1" applyBorder="1" applyAlignment="1">
      <alignment horizontal="center" vertical="center"/>
      <protection/>
    </xf>
    <xf numFmtId="164" fontId="9" fillId="2" borderId="7" xfId="23" applyFont="1" applyFill="1" applyBorder="1" applyAlignment="1">
      <alignment horizontal="center"/>
      <protection/>
    </xf>
    <xf numFmtId="164" fontId="9" fillId="2" borderId="7" xfId="23" applyFont="1" applyFill="1" applyBorder="1" applyAlignment="1">
      <alignment horizontal="center" vertical="center" wrapText="1"/>
      <protection/>
    </xf>
    <xf numFmtId="164" fontId="9" fillId="2" borderId="8" xfId="23" applyFont="1" applyFill="1" applyBorder="1" applyAlignment="1">
      <alignment horizontal="center" vertical="center" wrapText="1" shrinkToFit="1"/>
      <protection/>
    </xf>
    <xf numFmtId="164" fontId="9" fillId="2" borderId="26" xfId="23" applyFont="1" applyFill="1" applyBorder="1" applyAlignment="1">
      <alignment horizontal="center" vertical="center"/>
      <protection/>
    </xf>
    <xf numFmtId="164" fontId="9" fillId="2" borderId="25" xfId="23" applyFont="1" applyFill="1" applyBorder="1" applyAlignment="1">
      <alignment horizontal="center" vertical="center"/>
      <protection/>
    </xf>
    <xf numFmtId="164" fontId="9" fillId="2" borderId="27" xfId="23" applyFont="1" applyFill="1" applyBorder="1" applyAlignment="1">
      <alignment horizontal="center" vertical="center"/>
      <protection/>
    </xf>
    <xf numFmtId="164" fontId="9" fillId="2" borderId="28" xfId="23" applyFont="1" applyFill="1" applyBorder="1" applyAlignment="1">
      <alignment horizontal="center" vertical="center" shrinkToFit="1"/>
      <protection/>
    </xf>
    <xf numFmtId="164" fontId="9" fillId="2" borderId="29" xfId="23" applyFont="1" applyFill="1" applyBorder="1" applyAlignment="1">
      <alignment horizontal="center"/>
      <protection/>
    </xf>
    <xf numFmtId="164" fontId="9" fillId="2" borderId="23" xfId="23" applyFont="1" applyFill="1" applyBorder="1" applyAlignment="1">
      <alignment horizontal="left" shrinkToFit="1"/>
      <protection/>
    </xf>
    <xf numFmtId="164" fontId="9" fillId="2" borderId="30" xfId="23" applyFont="1" applyFill="1" applyBorder="1" applyAlignment="1">
      <alignment/>
      <protection/>
    </xf>
    <xf numFmtId="165" fontId="9" fillId="2" borderId="30" xfId="23" applyNumberFormat="1" applyFont="1" applyFill="1" applyBorder="1" applyAlignment="1">
      <alignment horizontal="center"/>
      <protection/>
    </xf>
    <xf numFmtId="164" fontId="9" fillId="2" borderId="30" xfId="23" applyFont="1" applyFill="1" applyBorder="1" applyAlignment="1">
      <alignment horizontal="center"/>
      <protection/>
    </xf>
    <xf numFmtId="165" fontId="9" fillId="2" borderId="30" xfId="23" applyNumberFormat="1" applyFont="1" applyFill="1" applyBorder="1" applyAlignment="1">
      <alignment/>
      <protection/>
    </xf>
    <xf numFmtId="165" fontId="9" fillId="2" borderId="31" xfId="23" applyNumberFormat="1" applyFont="1" applyFill="1" applyBorder="1" applyAlignment="1">
      <alignment/>
      <protection/>
    </xf>
    <xf numFmtId="164" fontId="9" fillId="2" borderId="32" xfId="23" applyFont="1" applyFill="1" applyBorder="1" applyAlignment="1">
      <alignment horizontal="center"/>
      <protection/>
    </xf>
    <xf numFmtId="164" fontId="9" fillId="0" borderId="21" xfId="22" applyFont="1" applyBorder="1" applyAlignment="1">
      <alignment vertical="center" wrapText="1" shrinkToFit="1"/>
      <protection/>
    </xf>
    <xf numFmtId="164" fontId="9" fillId="0" borderId="21" xfId="23" applyFont="1" applyBorder="1" applyAlignment="1">
      <alignment horizontal="center" vertical="center"/>
      <protection/>
    </xf>
    <xf numFmtId="165" fontId="9" fillId="0" borderId="21" xfId="23" applyNumberFormat="1" applyFont="1" applyBorder="1" applyAlignment="1">
      <alignment horizontal="right"/>
      <protection/>
    </xf>
    <xf numFmtId="165" fontId="9" fillId="0" borderId="21" xfId="23" applyNumberFormat="1" applyFont="1" applyBorder="1" applyAlignment="1">
      <alignment horizontal="right" shrinkToFit="1"/>
      <protection/>
    </xf>
    <xf numFmtId="169" fontId="9" fillId="2" borderId="21" xfId="23" applyNumberFormat="1" applyFont="1" applyFill="1" applyBorder="1" applyAlignment="1">
      <alignment/>
      <protection/>
    </xf>
    <xf numFmtId="165" fontId="9" fillId="0" borderId="33" xfId="23" applyNumberFormat="1" applyFont="1" applyBorder="1" applyAlignment="1">
      <alignment horizontal="right"/>
      <protection/>
    </xf>
    <xf numFmtId="168" fontId="9" fillId="0" borderId="21" xfId="23" applyNumberFormat="1" applyFont="1" applyFill="1" applyBorder="1" applyAlignment="1">
      <alignment vertical="center" wrapText="1" shrinkToFit="1"/>
      <protection/>
    </xf>
    <xf numFmtId="168" fontId="1" fillId="0" borderId="21" xfId="23" applyNumberFormat="1" applyFont="1" applyFill="1" applyBorder="1" applyAlignment="1">
      <alignment vertical="center" wrapText="1" shrinkToFit="1"/>
      <protection/>
    </xf>
    <xf numFmtId="165" fontId="1" fillId="0" borderId="21" xfId="23" applyNumberFormat="1" applyFont="1" applyBorder="1" applyAlignment="1">
      <alignment horizontal="right"/>
      <protection/>
    </xf>
    <xf numFmtId="165" fontId="1" fillId="0" borderId="21" xfId="23" applyNumberFormat="1" applyFont="1" applyBorder="1" applyAlignment="1">
      <alignment horizontal="right" shrinkToFit="1"/>
      <protection/>
    </xf>
    <xf numFmtId="169" fontId="1" fillId="2" borderId="21" xfId="23" applyNumberFormat="1" applyFont="1" applyFill="1" applyBorder="1" applyAlignment="1">
      <alignment/>
      <protection/>
    </xf>
    <xf numFmtId="165" fontId="1" fillId="0" borderId="33" xfId="23" applyNumberFormat="1" applyFont="1" applyBorder="1" applyAlignment="1">
      <alignment horizontal="right"/>
      <protection/>
    </xf>
    <xf numFmtId="164" fontId="9" fillId="0" borderId="21" xfId="23" applyFont="1" applyBorder="1" applyAlignment="1">
      <alignment vertical="center" wrapText="1" shrinkToFit="1"/>
      <protection/>
    </xf>
    <xf numFmtId="165" fontId="5" fillId="0" borderId="21" xfId="23" applyNumberFormat="1" applyFont="1" applyBorder="1" applyAlignment="1">
      <alignment/>
      <protection/>
    </xf>
    <xf numFmtId="165" fontId="9" fillId="0" borderId="21" xfId="23" applyNumberFormat="1" applyFont="1" applyBorder="1" applyAlignment="1">
      <alignment/>
      <protection/>
    </xf>
    <xf numFmtId="165" fontId="9" fillId="0" borderId="33" xfId="23" applyNumberFormat="1" applyFont="1" applyBorder="1" applyAlignment="1">
      <alignment/>
      <protection/>
    </xf>
    <xf numFmtId="165" fontId="9" fillId="0" borderId="21" xfId="23" applyNumberFormat="1" applyFont="1" applyBorder="1" applyAlignment="1">
      <alignment shrinkToFit="1"/>
      <protection/>
    </xf>
    <xf numFmtId="165" fontId="9" fillId="0" borderId="33" xfId="23" applyNumberFormat="1" applyFont="1" applyBorder="1" applyAlignment="1">
      <alignment shrinkToFit="1"/>
      <protection/>
    </xf>
    <xf numFmtId="164" fontId="1" fillId="0" borderId="21" xfId="22" applyFont="1" applyBorder="1" applyAlignment="1">
      <alignment vertical="center" wrapText="1" shrinkToFit="1"/>
      <protection/>
    </xf>
    <xf numFmtId="165" fontId="1" fillId="0" borderId="21" xfId="23" applyNumberFormat="1" applyFont="1" applyBorder="1" applyAlignment="1">
      <alignment/>
      <protection/>
    </xf>
    <xf numFmtId="165" fontId="1" fillId="0" borderId="21" xfId="23" applyNumberFormat="1" applyFont="1" applyBorder="1" applyAlignment="1">
      <alignment shrinkToFit="1"/>
      <protection/>
    </xf>
    <xf numFmtId="165" fontId="1" fillId="0" borderId="33" xfId="23" applyNumberFormat="1" applyFont="1" applyBorder="1" applyAlignment="1">
      <alignment shrinkToFit="1"/>
      <protection/>
    </xf>
    <xf numFmtId="165" fontId="19" fillId="0" borderId="21" xfId="23" applyNumberFormat="1" applyFont="1" applyBorder="1" applyAlignment="1">
      <alignment horizontal="right"/>
      <protection/>
    </xf>
    <xf numFmtId="164" fontId="9" fillId="0" borderId="17" xfId="23" applyFont="1" applyBorder="1" applyAlignment="1">
      <alignment horizontal="center" vertical="center"/>
      <protection/>
    </xf>
    <xf numFmtId="165" fontId="9" fillId="0" borderId="21" xfId="23" applyNumberFormat="1" applyFont="1" applyBorder="1" applyAlignment="1">
      <alignment horizontal="right" vertical="center"/>
      <protection/>
    </xf>
    <xf numFmtId="164" fontId="9" fillId="2" borderId="34" xfId="23" applyFont="1" applyFill="1" applyBorder="1" applyAlignment="1">
      <alignment horizontal="center"/>
      <protection/>
    </xf>
    <xf numFmtId="164" fontId="22" fillId="0" borderId="0" xfId="0" applyFont="1" applyAlignment="1">
      <alignment/>
    </xf>
    <xf numFmtId="164" fontId="9" fillId="4" borderId="21" xfId="23" applyFont="1" applyFill="1" applyBorder="1" applyAlignment="1">
      <alignment horizontal="center"/>
      <protection/>
    </xf>
    <xf numFmtId="164" fontId="9" fillId="4" borderId="21" xfId="23" applyFont="1" applyFill="1" applyBorder="1" applyAlignment="1">
      <alignment vertical="center" wrapText="1" shrinkToFit="1"/>
      <protection/>
    </xf>
    <xf numFmtId="164" fontId="9" fillId="4" borderId="21" xfId="23" applyFont="1" applyFill="1" applyBorder="1" applyAlignment="1">
      <alignment horizontal="center" vertical="center"/>
      <protection/>
    </xf>
    <xf numFmtId="165" fontId="9" fillId="4" borderId="21" xfId="23" applyNumberFormat="1" applyFont="1" applyFill="1" applyBorder="1" applyAlignment="1">
      <alignment horizontal="right" vertical="center"/>
      <protection/>
    </xf>
    <xf numFmtId="165" fontId="1" fillId="0" borderId="0" xfId="23" applyNumberFormat="1" applyFont="1">
      <alignment/>
      <protection/>
    </xf>
    <xf numFmtId="164" fontId="1" fillId="0" borderId="0" xfId="23" applyFont="1" applyAlignment="1">
      <alignment/>
      <protection/>
    </xf>
    <xf numFmtId="169" fontId="1" fillId="0" borderId="0" xfId="23" applyNumberFormat="1" applyFont="1">
      <alignment/>
      <protection/>
    </xf>
    <xf numFmtId="166" fontId="1" fillId="0" borderId="0" xfId="23" applyNumberFormat="1" applyFont="1">
      <alignment/>
      <protection/>
    </xf>
    <xf numFmtId="164" fontId="0" fillId="0" borderId="21" xfId="0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4" fontId="23" fillId="0" borderId="21" xfId="0" applyFont="1" applyFill="1" applyBorder="1" applyAlignment="1">
      <alignment horizontal="center" vertical="center" wrapText="1"/>
    </xf>
    <xf numFmtId="164" fontId="5" fillId="0" borderId="21" xfId="0" applyFont="1" applyFill="1" applyBorder="1" applyAlignment="1">
      <alignment/>
    </xf>
    <xf numFmtId="164" fontId="17" fillId="0" borderId="21" xfId="0" applyFont="1" applyFill="1" applyBorder="1" applyAlignment="1">
      <alignment/>
    </xf>
    <xf numFmtId="165" fontId="17" fillId="0" borderId="21" xfId="0" applyNumberFormat="1" applyFont="1" applyFill="1" applyBorder="1" applyAlignment="1">
      <alignment/>
    </xf>
    <xf numFmtId="164" fontId="17" fillId="0" borderId="21" xfId="0" applyFont="1" applyFill="1" applyBorder="1" applyAlignment="1">
      <alignment horizontal="right"/>
    </xf>
    <xf numFmtId="164" fontId="7" fillId="0" borderId="21" xfId="0" applyFont="1" applyFill="1" applyBorder="1" applyAlignment="1">
      <alignment horizontal="center" vertical="center" wrapText="1"/>
    </xf>
    <xf numFmtId="164" fontId="5" fillId="0" borderId="21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164" fontId="7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4" fontId="17" fillId="0" borderId="21" xfId="0" applyFont="1" applyFill="1" applyBorder="1" applyAlignment="1">
      <alignment horizontal="center"/>
    </xf>
    <xf numFmtId="164" fontId="7" fillId="0" borderId="21" xfId="0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170" fontId="17" fillId="0" borderId="21" xfId="0" applyNumberFormat="1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164" fontId="24" fillId="0" borderId="21" xfId="0" applyFont="1" applyFill="1" applyBorder="1" applyAlignment="1">
      <alignment/>
    </xf>
    <xf numFmtId="165" fontId="24" fillId="0" borderId="21" xfId="0" applyNumberFormat="1" applyFont="1" applyFill="1" applyBorder="1" applyAlignment="1">
      <alignment/>
    </xf>
    <xf numFmtId="164" fontId="17" fillId="0" borderId="21" xfId="0" applyFont="1" applyFill="1" applyBorder="1" applyAlignment="1">
      <alignment horizontal="left"/>
    </xf>
    <xf numFmtId="164" fontId="25" fillId="0" borderId="21" xfId="0" applyFont="1" applyFill="1" applyBorder="1" applyAlignment="1">
      <alignment/>
    </xf>
    <xf numFmtId="165" fontId="25" fillId="0" borderId="21" xfId="0" applyNumberFormat="1" applyFont="1" applyFill="1" applyBorder="1" applyAlignment="1">
      <alignment/>
    </xf>
    <xf numFmtId="165" fontId="26" fillId="0" borderId="21" xfId="0" applyNumberFormat="1" applyFont="1" applyFill="1" applyBorder="1" applyAlignment="1">
      <alignment/>
    </xf>
    <xf numFmtId="165" fontId="27" fillId="0" borderId="21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tsgv" xfId="20"/>
    <cellStyle name="Normál_02B_2008_evi_kltsgv_rendelet" xfId="21"/>
    <cellStyle name="Normál_BEKI991" xfId="22"/>
    <cellStyle name="Normál_táblá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Rendszergazda\Dokumentumok\adatok\2003\02EL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Rendszergazda\Dokumentumok\Documents%20and%20Settings\Marg&#243;\Dokumentumok\j&#243;%20k&#246;lts&#233;gvet&#233;si%20anyag\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8" sqref="H8"/>
    </sheetView>
  </sheetViews>
  <sheetFormatPr defaultColWidth="9.140625" defaultRowHeight="12.75"/>
  <cols>
    <col min="1" max="1" width="4.7109375" style="1" customWidth="1"/>
    <col min="2" max="2" width="4.00390625" style="1" customWidth="1"/>
    <col min="3" max="3" width="5.00390625" style="1" customWidth="1"/>
    <col min="4" max="4" width="45.140625" style="2" customWidth="1"/>
    <col min="5" max="5" width="12.57421875" style="3" customWidth="1"/>
    <col min="6" max="6" width="13.57421875" style="3" customWidth="1"/>
  </cols>
  <sheetData>
    <row r="1" spans="1:6" ht="12.75">
      <c r="A1" s="4"/>
      <c r="E1" s="5"/>
      <c r="F1" s="5"/>
    </row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7"/>
      <c r="B3" s="7"/>
      <c r="C3" s="7"/>
      <c r="D3" s="8"/>
      <c r="E3" s="9"/>
      <c r="F3" s="10" t="s">
        <v>1</v>
      </c>
    </row>
    <row r="4" spans="1:6" ht="12.75">
      <c r="A4" s="11" t="s">
        <v>2</v>
      </c>
      <c r="B4" s="12"/>
      <c r="C4" s="13"/>
      <c r="D4" s="14"/>
      <c r="E4" s="15" t="s">
        <v>3</v>
      </c>
      <c r="F4" s="15" t="s">
        <v>3</v>
      </c>
    </row>
    <row r="5" spans="1:6" ht="12.75">
      <c r="A5" s="16" t="s">
        <v>4</v>
      </c>
      <c r="B5" s="17" t="s">
        <v>5</v>
      </c>
      <c r="C5" s="16" t="s">
        <v>6</v>
      </c>
      <c r="D5" s="18" t="s">
        <v>7</v>
      </c>
      <c r="E5" s="19" t="s">
        <v>8</v>
      </c>
      <c r="F5" s="19" t="s">
        <v>8</v>
      </c>
    </row>
    <row r="6" spans="1:6" ht="12.75">
      <c r="A6" s="16" t="s">
        <v>9</v>
      </c>
      <c r="B6" s="17"/>
      <c r="C6" s="16"/>
      <c r="D6" s="20"/>
      <c r="E6" s="19" t="s">
        <v>10</v>
      </c>
      <c r="F6" s="19" t="s">
        <v>11</v>
      </c>
    </row>
    <row r="7" spans="1:6" ht="12.75">
      <c r="A7" s="21" t="s">
        <v>12</v>
      </c>
      <c r="B7" s="22"/>
      <c r="C7" s="23"/>
      <c r="D7" s="24" t="s">
        <v>13</v>
      </c>
      <c r="E7" s="25"/>
      <c r="F7" s="25"/>
    </row>
    <row r="8" spans="1:6" ht="12.75">
      <c r="A8" s="26"/>
      <c r="B8" s="27" t="s">
        <v>14</v>
      </c>
      <c r="C8" s="28"/>
      <c r="D8" s="29" t="s">
        <v>15</v>
      </c>
      <c r="E8" s="30"/>
      <c r="F8" s="30"/>
    </row>
    <row r="9" spans="1:6" ht="12.75">
      <c r="A9" s="31"/>
      <c r="B9" s="32"/>
      <c r="C9" s="31" t="s">
        <v>14</v>
      </c>
      <c r="D9" s="33" t="s">
        <v>16</v>
      </c>
      <c r="E9" s="34">
        <f>SUM(E10:E12)</f>
        <v>45.5</v>
      </c>
      <c r="F9" s="34">
        <f>SUM(F10:F12)</f>
        <v>45.5</v>
      </c>
    </row>
    <row r="10" spans="1:6" ht="12.75">
      <c r="A10" s="35"/>
      <c r="B10" s="36"/>
      <c r="C10" s="35"/>
      <c r="D10" s="37" t="s">
        <v>17</v>
      </c>
      <c r="E10" s="38">
        <v>34</v>
      </c>
      <c r="F10" s="38">
        <v>34</v>
      </c>
    </row>
    <row r="11" spans="1:6" ht="12.75">
      <c r="A11" s="35"/>
      <c r="B11" s="36"/>
      <c r="C11" s="35"/>
      <c r="D11" s="37" t="s">
        <v>18</v>
      </c>
      <c r="E11" s="38">
        <v>0</v>
      </c>
      <c r="F11" s="38">
        <v>0</v>
      </c>
    </row>
    <row r="12" spans="1:6" ht="12.75">
      <c r="A12" s="35"/>
      <c r="B12" s="36"/>
      <c r="C12" s="35"/>
      <c r="D12" s="37" t="s">
        <v>19</v>
      </c>
      <c r="E12" s="38">
        <v>11.5</v>
      </c>
      <c r="F12" s="38">
        <v>11.5</v>
      </c>
    </row>
    <row r="13" spans="1:6" ht="12.75">
      <c r="A13" s="39"/>
      <c r="B13" s="40" t="s">
        <v>14</v>
      </c>
      <c r="C13" s="41" t="s">
        <v>20</v>
      </c>
      <c r="D13" s="42" t="s">
        <v>21</v>
      </c>
      <c r="E13" s="43">
        <f>46+1+1+8+4.5+16</f>
        <v>76.5</v>
      </c>
      <c r="F13" s="43">
        <f>46+1+1+8+4.5+16</f>
        <v>76.5</v>
      </c>
    </row>
    <row r="14" spans="1:6" ht="12.75">
      <c r="A14" s="31"/>
      <c r="B14" s="44"/>
      <c r="C14" s="45" t="s">
        <v>22</v>
      </c>
      <c r="D14" s="42" t="s">
        <v>23</v>
      </c>
      <c r="E14" s="46">
        <f>27+6+6</f>
        <v>39</v>
      </c>
      <c r="F14" s="46">
        <f>27+6+6</f>
        <v>39</v>
      </c>
    </row>
    <row r="15" spans="1:6" ht="12.75">
      <c r="A15" s="35"/>
      <c r="B15" s="47"/>
      <c r="C15" s="48" t="s">
        <v>24</v>
      </c>
      <c r="D15" s="49" t="s">
        <v>25</v>
      </c>
      <c r="E15" s="38">
        <f>7+4</f>
        <v>11</v>
      </c>
      <c r="F15" s="38">
        <f>7+4</f>
        <v>11</v>
      </c>
    </row>
    <row r="16" spans="1:6" ht="12.75">
      <c r="A16" s="35"/>
      <c r="B16" s="47"/>
      <c r="C16" s="48" t="s">
        <v>26</v>
      </c>
      <c r="D16" s="49" t="s">
        <v>27</v>
      </c>
      <c r="E16" s="38">
        <v>14</v>
      </c>
      <c r="F16" s="38">
        <v>16</v>
      </c>
    </row>
    <row r="17" spans="1:6" ht="12.75">
      <c r="A17" s="31"/>
      <c r="B17" s="44"/>
      <c r="C17" s="48" t="s">
        <v>28</v>
      </c>
      <c r="D17" s="50" t="s">
        <v>29</v>
      </c>
      <c r="E17" s="34">
        <v>4</v>
      </c>
      <c r="F17" s="34">
        <v>4</v>
      </c>
    </row>
    <row r="18" spans="1:6" ht="12.75">
      <c r="A18" s="31"/>
      <c r="B18" s="44"/>
      <c r="C18" s="48" t="s">
        <v>30</v>
      </c>
      <c r="D18" s="51" t="s">
        <v>31</v>
      </c>
      <c r="E18" s="34">
        <f>6+3+4</f>
        <v>13</v>
      </c>
      <c r="F18" s="34">
        <f>6+3+4</f>
        <v>13</v>
      </c>
    </row>
    <row r="19" spans="1:6" ht="12.75">
      <c r="A19" s="52" t="s">
        <v>12</v>
      </c>
      <c r="B19" s="53"/>
      <c r="C19" s="54"/>
      <c r="D19" s="55" t="s">
        <v>32</v>
      </c>
      <c r="E19" s="56">
        <f>SUM(E9,E13:E18)</f>
        <v>203</v>
      </c>
      <c r="F19" s="56">
        <f>SUM(F9,F13:F18)</f>
        <v>205</v>
      </c>
    </row>
  </sheetData>
  <sheetProtection selectLockedCells="1" selectUnlockedCells="1"/>
  <mergeCells count="1">
    <mergeCell ref="A2:F2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&amp;L&amp;"Arial,Dőlt"Vámospércs Városi Önkormányzat&amp;R&amp;"Arial,Dőlt"7.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E1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4" customWidth="1"/>
    <col min="2" max="2" width="30.7109375" style="2" customWidth="1"/>
    <col min="3" max="3" width="15.140625" style="3" customWidth="1"/>
    <col min="4" max="5" width="15.140625" style="0" customWidth="1"/>
  </cols>
  <sheetData>
    <row r="5" spans="1:5" ht="30" customHeight="1">
      <c r="A5" s="57" t="s">
        <v>33</v>
      </c>
      <c r="B5" s="57"/>
      <c r="C5" s="57"/>
      <c r="D5" s="57"/>
      <c r="E5" s="57"/>
    </row>
    <row r="6" spans="1:5" ht="12.75">
      <c r="A6" s="58"/>
      <c r="B6" s="58"/>
      <c r="C6" s="58"/>
      <c r="D6" s="59" t="s">
        <v>34</v>
      </c>
      <c r="E6" s="59"/>
    </row>
    <row r="7" spans="1:5" ht="37.5" customHeight="1">
      <c r="A7" s="60"/>
      <c r="B7" s="61" t="s">
        <v>35</v>
      </c>
      <c r="C7" s="62" t="s">
        <v>36</v>
      </c>
      <c r="D7" s="62" t="s">
        <v>37</v>
      </c>
      <c r="E7" s="62" t="s">
        <v>38</v>
      </c>
    </row>
    <row r="8" spans="1:5" ht="27.75" customHeight="1">
      <c r="A8" s="63" t="s">
        <v>14</v>
      </c>
      <c r="B8" s="64" t="s">
        <v>39</v>
      </c>
      <c r="C8" s="65">
        <v>5000</v>
      </c>
      <c r="D8" s="65">
        <v>275</v>
      </c>
      <c r="E8" s="65">
        <f>SUM(C8:D8)</f>
        <v>5275</v>
      </c>
    </row>
    <row r="9" spans="1:5" ht="27.75" customHeight="1">
      <c r="A9" s="63" t="s">
        <v>40</v>
      </c>
      <c r="B9" s="64" t="s">
        <v>41</v>
      </c>
      <c r="C9" s="65"/>
      <c r="D9" s="65">
        <v>153046</v>
      </c>
      <c r="E9" s="65">
        <f>SUM(C9:D9)</f>
        <v>153046</v>
      </c>
    </row>
    <row r="10" spans="1:5" ht="27.75" customHeight="1">
      <c r="A10" s="66"/>
      <c r="B10" s="67" t="s">
        <v>32</v>
      </c>
      <c r="C10" s="68">
        <f>SUM(C8:C9)</f>
        <v>5000</v>
      </c>
      <c r="D10" s="68">
        <f>SUM(D8:D9)</f>
        <v>153321</v>
      </c>
      <c r="E10" s="68">
        <f>SUM(E8:E9)</f>
        <v>158321</v>
      </c>
    </row>
    <row r="11" spans="1:3" ht="12.75">
      <c r="A11" s="69"/>
      <c r="B11" s="70"/>
      <c r="C11" s="71"/>
    </row>
    <row r="12" spans="1:3" ht="12.75">
      <c r="A12" s="69"/>
      <c r="B12" s="70"/>
      <c r="C12" s="71"/>
    </row>
    <row r="13" spans="1:3" ht="12.75">
      <c r="A13" s="69"/>
      <c r="B13" s="70"/>
      <c r="C13" s="71"/>
    </row>
  </sheetData>
  <sheetProtection selectLockedCells="1" selectUnlockedCells="1"/>
  <mergeCells count="2">
    <mergeCell ref="A5:E5"/>
    <mergeCell ref="D6:E6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&amp;L&amp;"Arial,Dőlt"Vámospércs Városi Önkormányzat&amp;R&amp;"Arial,Dőlt"15.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F7" sqref="F7"/>
    </sheetView>
  </sheetViews>
  <sheetFormatPr defaultColWidth="9.140625" defaultRowHeight="12.75"/>
  <cols>
    <col min="1" max="1" width="32.421875" style="72" customWidth="1"/>
    <col min="2" max="10" width="10.8515625" style="72" customWidth="1"/>
  </cols>
  <sheetData>
    <row r="2" spans="1:10" ht="12.75" customHeight="1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2.75" customHeight="1">
      <c r="A4" s="74" t="s">
        <v>43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2.75">
      <c r="A5" s="74"/>
      <c r="B5" s="74"/>
      <c r="C5" s="74"/>
      <c r="D5" s="74"/>
      <c r="E5" s="74"/>
      <c r="F5" s="74"/>
      <c r="G5" s="74"/>
      <c r="H5" s="74"/>
      <c r="I5" s="74"/>
      <c r="J5" s="74"/>
    </row>
    <row r="7" spans="7:9" ht="12.75">
      <c r="G7" s="75"/>
      <c r="H7" s="75"/>
      <c r="I7" s="75" t="s">
        <v>44</v>
      </c>
    </row>
    <row r="8" spans="1:10" ht="12.75" customHeight="1">
      <c r="A8" s="76" t="s">
        <v>35</v>
      </c>
      <c r="B8" s="77" t="s">
        <v>36</v>
      </c>
      <c r="C8" s="77"/>
      <c r="D8" s="77"/>
      <c r="E8" s="77"/>
      <c r="F8" s="77"/>
      <c r="G8" s="77"/>
      <c r="H8" s="77" t="s">
        <v>45</v>
      </c>
      <c r="I8" s="77"/>
      <c r="J8" s="77" t="s">
        <v>46</v>
      </c>
    </row>
    <row r="9" spans="1:10" ht="12.75" customHeight="1">
      <c r="A9" s="76"/>
      <c r="B9" s="77" t="s">
        <v>47</v>
      </c>
      <c r="C9" s="77" t="s">
        <v>48</v>
      </c>
      <c r="D9" s="77" t="s">
        <v>49</v>
      </c>
      <c r="E9" s="77" t="s">
        <v>50</v>
      </c>
      <c r="F9" s="77" t="s">
        <v>51</v>
      </c>
      <c r="G9" s="77" t="s">
        <v>52</v>
      </c>
      <c r="H9" s="77" t="s">
        <v>53</v>
      </c>
      <c r="I9" s="77" t="s">
        <v>54</v>
      </c>
      <c r="J9" s="77"/>
    </row>
    <row r="10" spans="1:10" ht="12.7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8" t="s">
        <v>16</v>
      </c>
      <c r="B12" s="79"/>
      <c r="C12" s="79"/>
      <c r="D12" s="79"/>
      <c r="E12" s="79"/>
      <c r="F12" s="79"/>
      <c r="G12" s="79"/>
      <c r="H12" s="80"/>
      <c r="I12" s="80"/>
      <c r="J12" s="80"/>
    </row>
    <row r="13" spans="1:10" s="84" customFormat="1" ht="12.75">
      <c r="A13" s="81" t="s">
        <v>55</v>
      </c>
      <c r="B13" s="82"/>
      <c r="C13" s="82"/>
      <c r="D13" s="82"/>
      <c r="E13" s="82"/>
      <c r="F13" s="82"/>
      <c r="G13" s="82"/>
      <c r="H13" s="83"/>
      <c r="I13" s="83"/>
      <c r="J13" s="83"/>
    </row>
    <row r="14" spans="1:10" s="84" customFormat="1" ht="12.75">
      <c r="A14" s="83" t="s">
        <v>56</v>
      </c>
      <c r="B14" s="85">
        <v>1038</v>
      </c>
      <c r="C14" s="85">
        <v>355</v>
      </c>
      <c r="D14" s="82"/>
      <c r="E14" s="85"/>
      <c r="F14" s="85"/>
      <c r="G14" s="85">
        <f aca="true" t="shared" si="0" ref="G14:G34">SUM(B14:F14)</f>
        <v>1393</v>
      </c>
      <c r="H14" s="85">
        <v>1393</v>
      </c>
      <c r="I14" s="83"/>
      <c r="J14" s="85">
        <f>G14-(H14+I14)</f>
        <v>0</v>
      </c>
    </row>
    <row r="15" spans="1:10" s="84" customFormat="1" ht="12.75">
      <c r="A15" s="83" t="s">
        <v>57</v>
      </c>
      <c r="B15" s="85">
        <v>6000</v>
      </c>
      <c r="C15" s="85">
        <v>1920</v>
      </c>
      <c r="D15" s="82"/>
      <c r="E15" s="85"/>
      <c r="F15" s="85"/>
      <c r="G15" s="85">
        <f t="shared" si="0"/>
        <v>7920</v>
      </c>
      <c r="H15" s="85">
        <v>7920</v>
      </c>
      <c r="I15" s="83"/>
      <c r="J15" s="85">
        <f aca="true" t="shared" si="1" ref="J15:J35">G15-(H15+I15)</f>
        <v>0</v>
      </c>
    </row>
    <row r="16" spans="1:10" s="84" customFormat="1" ht="12.75">
      <c r="A16" s="81" t="s">
        <v>58</v>
      </c>
      <c r="B16" s="82">
        <v>5000</v>
      </c>
      <c r="C16" s="82">
        <v>1600</v>
      </c>
      <c r="D16" s="82"/>
      <c r="E16" s="82"/>
      <c r="F16" s="82"/>
      <c r="G16" s="85">
        <f t="shared" si="0"/>
        <v>6600</v>
      </c>
      <c r="H16" s="85">
        <v>6600</v>
      </c>
      <c r="I16" s="83"/>
      <c r="J16" s="85">
        <f t="shared" si="1"/>
        <v>0</v>
      </c>
    </row>
    <row r="17" spans="1:10" s="84" customFormat="1" ht="12.75">
      <c r="A17" s="83" t="s">
        <v>59</v>
      </c>
      <c r="B17" s="85">
        <v>1737</v>
      </c>
      <c r="C17" s="85">
        <v>580</v>
      </c>
      <c r="D17" s="82"/>
      <c r="E17" s="85"/>
      <c r="F17" s="85"/>
      <c r="G17" s="85">
        <f t="shared" si="0"/>
        <v>2317</v>
      </c>
      <c r="H17" s="83"/>
      <c r="I17" s="83">
        <v>2317</v>
      </c>
      <c r="J17" s="85">
        <f t="shared" si="1"/>
        <v>0</v>
      </c>
    </row>
    <row r="18" spans="1:10" s="84" customFormat="1" ht="12.75">
      <c r="A18" s="83" t="s">
        <v>60</v>
      </c>
      <c r="B18" s="85">
        <v>523</v>
      </c>
      <c r="C18" s="85">
        <v>187</v>
      </c>
      <c r="D18" s="82"/>
      <c r="E18" s="85"/>
      <c r="F18" s="85"/>
      <c r="G18" s="85">
        <f t="shared" si="0"/>
        <v>710</v>
      </c>
      <c r="H18" s="83"/>
      <c r="I18" s="83">
        <v>710</v>
      </c>
      <c r="J18" s="85">
        <f t="shared" si="1"/>
        <v>0</v>
      </c>
    </row>
    <row r="19" spans="1:10" s="84" customFormat="1" ht="12.75">
      <c r="A19" s="83" t="s">
        <v>61</v>
      </c>
      <c r="B19" s="85"/>
      <c r="C19" s="85"/>
      <c r="D19" s="82">
        <v>432</v>
      </c>
      <c r="E19" s="85"/>
      <c r="F19" s="85"/>
      <c r="G19" s="85">
        <f t="shared" si="0"/>
        <v>432</v>
      </c>
      <c r="H19" s="83"/>
      <c r="I19" s="83">
        <v>432</v>
      </c>
      <c r="J19" s="85">
        <f t="shared" si="1"/>
        <v>0</v>
      </c>
    </row>
    <row r="20" spans="1:10" s="84" customFormat="1" ht="12.75">
      <c r="A20" s="83" t="s">
        <v>62</v>
      </c>
      <c r="B20" s="85"/>
      <c r="C20" s="85"/>
      <c r="D20" s="82"/>
      <c r="E20" s="85"/>
      <c r="F20" s="85">
        <v>1000</v>
      </c>
      <c r="G20" s="85">
        <f t="shared" si="0"/>
        <v>1000</v>
      </c>
      <c r="H20" s="83">
        <v>1000</v>
      </c>
      <c r="I20" s="83"/>
      <c r="J20" s="85">
        <f t="shared" si="1"/>
        <v>0</v>
      </c>
    </row>
    <row r="21" spans="1:10" s="84" customFormat="1" ht="12.75">
      <c r="A21" s="83" t="s">
        <v>63</v>
      </c>
      <c r="B21" s="85"/>
      <c r="C21" s="85"/>
      <c r="D21" s="82"/>
      <c r="E21" s="85"/>
      <c r="F21" s="85">
        <v>1722</v>
      </c>
      <c r="G21" s="85">
        <f t="shared" si="0"/>
        <v>1722</v>
      </c>
      <c r="H21" s="83"/>
      <c r="I21" s="83">
        <v>1722</v>
      </c>
      <c r="J21" s="85">
        <f t="shared" si="1"/>
        <v>0</v>
      </c>
    </row>
    <row r="22" spans="1:10" s="84" customFormat="1" ht="12.75">
      <c r="A22" s="83" t="s">
        <v>64</v>
      </c>
      <c r="B22" s="85"/>
      <c r="C22" s="85"/>
      <c r="D22" s="82"/>
      <c r="E22" s="85"/>
      <c r="F22" s="85">
        <v>2400</v>
      </c>
      <c r="G22" s="85">
        <f t="shared" si="0"/>
        <v>2400</v>
      </c>
      <c r="H22" s="83">
        <v>2400</v>
      </c>
      <c r="I22" s="83"/>
      <c r="J22" s="85">
        <f t="shared" si="1"/>
        <v>0</v>
      </c>
    </row>
    <row r="23" spans="1:10" s="84" customFormat="1" ht="12.75">
      <c r="A23" s="83" t="s">
        <v>65</v>
      </c>
      <c r="B23" s="85"/>
      <c r="C23" s="85"/>
      <c r="D23" s="82"/>
      <c r="E23" s="85">
        <v>6840</v>
      </c>
      <c r="F23" s="85"/>
      <c r="G23" s="85">
        <f t="shared" si="0"/>
        <v>6840</v>
      </c>
      <c r="H23" s="83"/>
      <c r="I23" s="83">
        <v>6840</v>
      </c>
      <c r="J23" s="85">
        <f t="shared" si="1"/>
        <v>0</v>
      </c>
    </row>
    <row r="24" spans="1:10" s="84" customFormat="1" ht="12.75">
      <c r="A24" s="81" t="s">
        <v>66</v>
      </c>
      <c r="B24" s="82"/>
      <c r="C24" s="82"/>
      <c r="D24" s="82"/>
      <c r="E24" s="82"/>
      <c r="F24" s="82"/>
      <c r="G24" s="85">
        <f t="shared" si="0"/>
        <v>0</v>
      </c>
      <c r="H24" s="83"/>
      <c r="I24" s="83"/>
      <c r="J24" s="85">
        <f t="shared" si="1"/>
        <v>0</v>
      </c>
    </row>
    <row r="25" spans="1:10" s="84" customFormat="1" ht="12.75">
      <c r="A25" s="83" t="s">
        <v>67</v>
      </c>
      <c r="B25" s="85"/>
      <c r="C25" s="85"/>
      <c r="D25" s="82">
        <v>360</v>
      </c>
      <c r="E25" s="85"/>
      <c r="F25" s="85"/>
      <c r="G25" s="85">
        <f t="shared" si="0"/>
        <v>360</v>
      </c>
      <c r="H25" s="83">
        <v>360</v>
      </c>
      <c r="I25" s="83"/>
      <c r="J25" s="85">
        <f t="shared" si="1"/>
        <v>0</v>
      </c>
    </row>
    <row r="26" spans="1:10" s="84" customFormat="1" ht="12.75">
      <c r="A26" s="83" t="s">
        <v>68</v>
      </c>
      <c r="B26" s="85"/>
      <c r="C26" s="85"/>
      <c r="D26" s="82"/>
      <c r="E26" s="85"/>
      <c r="F26" s="85"/>
      <c r="G26" s="85">
        <f t="shared" si="0"/>
        <v>0</v>
      </c>
      <c r="H26" s="83"/>
      <c r="I26" s="83"/>
      <c r="J26" s="85">
        <f t="shared" si="1"/>
        <v>0</v>
      </c>
    </row>
    <row r="27" spans="1:10" s="84" customFormat="1" ht="12.75">
      <c r="A27" s="83" t="s">
        <v>69</v>
      </c>
      <c r="B27" s="85"/>
      <c r="C27" s="85"/>
      <c r="D27" s="82">
        <v>200</v>
      </c>
      <c r="E27" s="85"/>
      <c r="F27" s="85"/>
      <c r="G27" s="85">
        <f t="shared" si="0"/>
        <v>200</v>
      </c>
      <c r="H27" s="83"/>
      <c r="I27" s="83">
        <v>200</v>
      </c>
      <c r="J27" s="85">
        <f t="shared" si="1"/>
        <v>0</v>
      </c>
    </row>
    <row r="28" spans="1:10" s="84" customFormat="1" ht="12.75">
      <c r="A28" s="83" t="s">
        <v>70</v>
      </c>
      <c r="B28" s="85"/>
      <c r="C28" s="85"/>
      <c r="D28" s="82">
        <v>240</v>
      </c>
      <c r="E28" s="85"/>
      <c r="F28" s="85"/>
      <c r="G28" s="85">
        <f t="shared" si="0"/>
        <v>240</v>
      </c>
      <c r="H28" s="83"/>
      <c r="I28" s="83">
        <v>240</v>
      </c>
      <c r="J28" s="85">
        <f t="shared" si="1"/>
        <v>0</v>
      </c>
    </row>
    <row r="29" spans="1:10" s="84" customFormat="1" ht="12.75">
      <c r="A29" s="83" t="s">
        <v>71</v>
      </c>
      <c r="B29" s="85"/>
      <c r="C29" s="85"/>
      <c r="D29" s="82"/>
      <c r="E29" s="85"/>
      <c r="F29" s="85"/>
      <c r="G29" s="85">
        <f t="shared" si="0"/>
        <v>0</v>
      </c>
      <c r="H29" s="83"/>
      <c r="I29" s="83"/>
      <c r="J29" s="85">
        <f t="shared" si="1"/>
        <v>0</v>
      </c>
    </row>
    <row r="30" spans="1:10" s="84" customFormat="1" ht="12.75">
      <c r="A30" s="83" t="s">
        <v>72</v>
      </c>
      <c r="B30" s="85"/>
      <c r="C30" s="85"/>
      <c r="D30" s="82">
        <v>1200</v>
      </c>
      <c r="E30" s="85"/>
      <c r="F30" s="85"/>
      <c r="G30" s="85">
        <f t="shared" si="0"/>
        <v>1200</v>
      </c>
      <c r="H30" s="83">
        <v>1200</v>
      </c>
      <c r="I30" s="83"/>
      <c r="J30" s="85">
        <f t="shared" si="1"/>
        <v>0</v>
      </c>
    </row>
    <row r="31" spans="1:10" s="84" customFormat="1" ht="12.75">
      <c r="A31" s="83" t="s">
        <v>73</v>
      </c>
      <c r="B31" s="85">
        <f>SUM(B14:B30)</f>
        <v>14298</v>
      </c>
      <c r="C31" s="85">
        <f>SUM(C14:C30)</f>
        <v>4642</v>
      </c>
      <c r="D31" s="85">
        <f>SUM(D14:D30)</f>
        <v>2432</v>
      </c>
      <c r="E31" s="85">
        <f>SUM(E14:E30)</f>
        <v>6840</v>
      </c>
      <c r="F31" s="85">
        <f>SUM(F14:F30)</f>
        <v>5122</v>
      </c>
      <c r="G31" s="85">
        <f t="shared" si="0"/>
        <v>33334</v>
      </c>
      <c r="H31" s="85">
        <f>SUM(H14:H30)</f>
        <v>20873</v>
      </c>
      <c r="I31" s="85">
        <f>SUM(I14:I30)</f>
        <v>12461</v>
      </c>
      <c r="J31" s="85">
        <f t="shared" si="1"/>
        <v>0</v>
      </c>
    </row>
    <row r="32" spans="1:10" s="84" customFormat="1" ht="12.75">
      <c r="A32" s="80" t="s">
        <v>74</v>
      </c>
      <c r="B32" s="85"/>
      <c r="C32" s="85"/>
      <c r="D32" s="85"/>
      <c r="E32" s="85"/>
      <c r="F32" s="85"/>
      <c r="G32" s="85">
        <f t="shared" si="0"/>
        <v>0</v>
      </c>
      <c r="H32" s="83"/>
      <c r="I32" s="83"/>
      <c r="J32" s="85">
        <f t="shared" si="1"/>
        <v>0</v>
      </c>
    </row>
    <row r="33" spans="1:10" s="84" customFormat="1" ht="12.75">
      <c r="A33" s="83" t="s">
        <v>75</v>
      </c>
      <c r="B33" s="85"/>
      <c r="C33" s="85"/>
      <c r="D33" s="82"/>
      <c r="E33" s="85"/>
      <c r="F33" s="85"/>
      <c r="G33" s="85">
        <f t="shared" si="0"/>
        <v>0</v>
      </c>
      <c r="H33" s="83"/>
      <c r="I33" s="83"/>
      <c r="J33" s="85">
        <f t="shared" si="1"/>
        <v>0</v>
      </c>
    </row>
    <row r="34" spans="1:10" s="84" customFormat="1" ht="12.75">
      <c r="A34" s="83" t="s">
        <v>76</v>
      </c>
      <c r="B34" s="85">
        <v>1525</v>
      </c>
      <c r="C34" s="85">
        <v>460</v>
      </c>
      <c r="D34" s="82"/>
      <c r="E34" s="85"/>
      <c r="F34" s="85"/>
      <c r="G34" s="85">
        <f t="shared" si="0"/>
        <v>1985</v>
      </c>
      <c r="H34" s="83">
        <v>1985</v>
      </c>
      <c r="I34" s="83"/>
      <c r="J34" s="85">
        <f t="shared" si="1"/>
        <v>0</v>
      </c>
    </row>
    <row r="35" spans="1:10" ht="12.75">
      <c r="A35" s="78" t="s">
        <v>77</v>
      </c>
      <c r="B35" s="79">
        <f aca="true" t="shared" si="2" ref="B35:I35">SUM(B31,B34)</f>
        <v>15823</v>
      </c>
      <c r="C35" s="79">
        <f t="shared" si="2"/>
        <v>5102</v>
      </c>
      <c r="D35" s="79">
        <f t="shared" si="2"/>
        <v>2432</v>
      </c>
      <c r="E35" s="79">
        <f t="shared" si="2"/>
        <v>6840</v>
      </c>
      <c r="F35" s="79">
        <f t="shared" si="2"/>
        <v>5122</v>
      </c>
      <c r="G35" s="79">
        <f t="shared" si="2"/>
        <v>35319</v>
      </c>
      <c r="H35" s="86">
        <f t="shared" si="2"/>
        <v>22858</v>
      </c>
      <c r="I35" s="86">
        <f t="shared" si="2"/>
        <v>12461</v>
      </c>
      <c r="J35" s="85">
        <f t="shared" si="1"/>
        <v>0</v>
      </c>
    </row>
  </sheetData>
  <sheetProtection selectLockedCells="1" selectUnlockedCells="1"/>
  <mergeCells count="14">
    <mergeCell ref="A2:J3"/>
    <mergeCell ref="A4:J5"/>
    <mergeCell ref="A8:A11"/>
    <mergeCell ref="B8:G8"/>
    <mergeCell ref="H8:I8"/>
    <mergeCell ref="J8:J11"/>
    <mergeCell ref="B9:B11"/>
    <mergeCell ref="C9:C11"/>
    <mergeCell ref="D9:D11"/>
    <mergeCell ref="E9:E11"/>
    <mergeCell ref="F9:F11"/>
    <mergeCell ref="G9:G11"/>
    <mergeCell ref="H9:H11"/>
    <mergeCell ref="I9:I11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&amp;L&amp;"Arial,Dőlt"Vámospércs Városi Önkormányzat&amp;R&amp;"Arial,Dőlt"14.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53"/>
  <sheetViews>
    <sheetView workbookViewId="0" topLeftCell="A1">
      <pane ySplit="1755" topLeftCell="A5" activePane="bottomLeft" state="split"/>
      <selection pane="topLeft" activeCell="A1" sqref="A1"/>
      <selection pane="bottomLeft" activeCell="K30" sqref="K30"/>
    </sheetView>
  </sheetViews>
  <sheetFormatPr defaultColWidth="9.140625" defaultRowHeight="12.75"/>
  <cols>
    <col min="1" max="1" width="4.00390625" style="87" customWidth="1"/>
    <col min="2" max="2" width="44.00390625" style="88" customWidth="1"/>
    <col min="3" max="3" width="9.421875" style="89" customWidth="1"/>
    <col min="4" max="4" width="27.00390625" style="89" customWidth="1"/>
    <col min="5" max="5" width="8.28125" style="89" customWidth="1"/>
    <col min="6" max="11" width="27.00390625" style="89" customWidth="1"/>
    <col min="12" max="15" width="11.28125" style="89" customWidth="1"/>
  </cols>
  <sheetData>
    <row r="3" spans="1:15" ht="12.75">
      <c r="A3" s="90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92"/>
      <c r="O3" s="93"/>
    </row>
    <row r="4" spans="1:15" ht="12.75">
      <c r="A4" s="94" t="s">
        <v>78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2.75">
      <c r="A5" s="95"/>
      <c r="B5" s="96"/>
      <c r="C5" s="92"/>
      <c r="D5" s="92"/>
      <c r="E5" s="92"/>
      <c r="F5" s="97"/>
      <c r="G5" s="97"/>
      <c r="H5" s="97"/>
      <c r="I5" s="97"/>
      <c r="J5" s="97"/>
      <c r="K5" s="92"/>
      <c r="L5" s="92"/>
      <c r="M5" s="93"/>
      <c r="N5" s="92"/>
      <c r="O5" s="98" t="s">
        <v>79</v>
      </c>
    </row>
    <row r="6" spans="1:15" ht="12.75" customHeight="1">
      <c r="A6" s="99" t="s">
        <v>80</v>
      </c>
      <c r="B6" s="100" t="s">
        <v>81</v>
      </c>
      <c r="C6" s="101"/>
      <c r="D6" s="102" t="s">
        <v>82</v>
      </c>
      <c r="E6" s="102"/>
      <c r="F6" s="103" t="s">
        <v>83</v>
      </c>
      <c r="G6" s="103"/>
      <c r="H6" s="104" t="s">
        <v>84</v>
      </c>
      <c r="I6" s="104"/>
      <c r="J6" s="105" t="s">
        <v>85</v>
      </c>
      <c r="K6" s="105"/>
      <c r="L6" s="106" t="s">
        <v>86</v>
      </c>
      <c r="M6" s="106"/>
      <c r="N6" s="107" t="s">
        <v>87</v>
      </c>
      <c r="O6" s="107"/>
    </row>
    <row r="7" spans="1:15" ht="12.75">
      <c r="A7" s="108" t="s">
        <v>88</v>
      </c>
      <c r="B7" s="109"/>
      <c r="C7" s="110" t="s">
        <v>89</v>
      </c>
      <c r="D7" s="110" t="s">
        <v>90</v>
      </c>
      <c r="E7" s="111" t="s">
        <v>91</v>
      </c>
      <c r="F7" s="111" t="s">
        <v>92</v>
      </c>
      <c r="G7" s="111" t="s">
        <v>93</v>
      </c>
      <c r="H7" s="110" t="s">
        <v>92</v>
      </c>
      <c r="I7" s="111" t="s">
        <v>93</v>
      </c>
      <c r="J7" s="112" t="s">
        <v>94</v>
      </c>
      <c r="K7" s="111" t="s">
        <v>93</v>
      </c>
      <c r="L7" s="112" t="s">
        <v>92</v>
      </c>
      <c r="M7" s="113" t="s">
        <v>93</v>
      </c>
      <c r="N7" s="112" t="s">
        <v>92</v>
      </c>
      <c r="O7" s="114" t="s">
        <v>93</v>
      </c>
    </row>
    <row r="8" spans="1:15" ht="12.75">
      <c r="A8" s="115"/>
      <c r="B8" s="109" t="s">
        <v>95</v>
      </c>
      <c r="C8" s="116" t="s">
        <v>96</v>
      </c>
      <c r="D8" s="116"/>
      <c r="E8" s="117"/>
      <c r="F8" s="117" t="s">
        <v>97</v>
      </c>
      <c r="G8" s="117"/>
      <c r="H8" s="117" t="s">
        <v>97</v>
      </c>
      <c r="I8" s="117"/>
      <c r="J8" s="117" t="s">
        <v>98</v>
      </c>
      <c r="K8" s="117"/>
      <c r="L8" s="117" t="s">
        <v>97</v>
      </c>
      <c r="M8" s="116"/>
      <c r="N8" s="117" t="s">
        <v>97</v>
      </c>
      <c r="O8" s="118"/>
    </row>
    <row r="9" spans="1:15" ht="12.75">
      <c r="A9" s="119"/>
      <c r="B9" s="120" t="s">
        <v>99</v>
      </c>
      <c r="C9" s="121"/>
      <c r="D9" s="122"/>
      <c r="E9" s="122"/>
      <c r="F9" s="122"/>
      <c r="G9" s="123"/>
      <c r="H9" s="122"/>
      <c r="I9" s="122"/>
      <c r="J9" s="124"/>
      <c r="K9" s="124"/>
      <c r="L9" s="124"/>
      <c r="M9" s="124"/>
      <c r="N9" s="124"/>
      <c r="O9" s="125"/>
    </row>
    <row r="10" spans="1:15" ht="12.75">
      <c r="A10" s="126" t="s">
        <v>14</v>
      </c>
      <c r="B10" s="127" t="s">
        <v>100</v>
      </c>
      <c r="C10" s="128">
        <v>2008</v>
      </c>
      <c r="D10" s="129">
        <v>21000</v>
      </c>
      <c r="E10" s="129"/>
      <c r="F10" s="130">
        <v>1050</v>
      </c>
      <c r="G10" s="129"/>
      <c r="H10" s="129"/>
      <c r="I10" s="129"/>
      <c r="J10" s="131">
        <f>F10-H10+G10</f>
        <v>1050</v>
      </c>
      <c r="K10" s="131"/>
      <c r="L10" s="129"/>
      <c r="M10" s="129"/>
      <c r="N10" s="129"/>
      <c r="O10" s="132"/>
    </row>
    <row r="11" spans="1:15" ht="12.75">
      <c r="A11" s="126" t="s">
        <v>40</v>
      </c>
      <c r="B11" s="133" t="s">
        <v>101</v>
      </c>
      <c r="C11" s="128">
        <v>2008</v>
      </c>
      <c r="D11" s="129">
        <v>195600</v>
      </c>
      <c r="E11" s="129"/>
      <c r="F11" s="129">
        <v>95600</v>
      </c>
      <c r="G11" s="129"/>
      <c r="H11" s="130"/>
      <c r="I11" s="129"/>
      <c r="J11" s="131">
        <f aca="true" t="shared" si="0" ref="J11:J25">F11-H11+G11</f>
        <v>95600</v>
      </c>
      <c r="K11" s="131"/>
      <c r="L11" s="129"/>
      <c r="M11" s="129"/>
      <c r="N11" s="129"/>
      <c r="O11" s="132"/>
    </row>
    <row r="12" spans="1:15" ht="12.75">
      <c r="A12" s="126"/>
      <c r="B12" s="134" t="s">
        <v>102</v>
      </c>
      <c r="C12" s="128"/>
      <c r="D12" s="129">
        <v>-157487</v>
      </c>
      <c r="E12" s="135"/>
      <c r="F12" s="135">
        <f>-76972-639-1310</f>
        <v>-78921</v>
      </c>
      <c r="G12" s="135"/>
      <c r="H12" s="136"/>
      <c r="I12" s="135"/>
      <c r="J12" s="131">
        <f t="shared" si="0"/>
        <v>-78921</v>
      </c>
      <c r="K12" s="137"/>
      <c r="L12" s="135"/>
      <c r="M12" s="135"/>
      <c r="N12" s="135"/>
      <c r="O12" s="138"/>
    </row>
    <row r="13" spans="1:15" ht="12.75">
      <c r="A13" s="126"/>
      <c r="B13" s="134" t="s">
        <v>103</v>
      </c>
      <c r="C13" s="128"/>
      <c r="D13" s="129"/>
      <c r="E13" s="135"/>
      <c r="F13" s="135"/>
      <c r="G13" s="135"/>
      <c r="H13" s="136"/>
      <c r="I13" s="135"/>
      <c r="J13" s="131">
        <f t="shared" si="0"/>
        <v>0</v>
      </c>
      <c r="K13" s="137"/>
      <c r="L13" s="135"/>
      <c r="M13" s="135"/>
      <c r="N13" s="135"/>
      <c r="O13" s="138"/>
    </row>
    <row r="14" spans="1:15" ht="12.75">
      <c r="A14" s="126"/>
      <c r="B14" s="133" t="s">
        <v>104</v>
      </c>
      <c r="C14" s="128"/>
      <c r="D14" s="129">
        <f>SUM(D11:D13)</f>
        <v>38113</v>
      </c>
      <c r="E14" s="129">
        <f aca="true" t="shared" si="1" ref="E14:O14">SUM(E11:E13)</f>
        <v>0</v>
      </c>
      <c r="F14" s="129">
        <f t="shared" si="1"/>
        <v>16679</v>
      </c>
      <c r="G14" s="129">
        <f t="shared" si="1"/>
        <v>0</v>
      </c>
      <c r="H14" s="129">
        <f t="shared" si="1"/>
        <v>0</v>
      </c>
      <c r="I14" s="129">
        <f t="shared" si="1"/>
        <v>0</v>
      </c>
      <c r="J14" s="129">
        <f t="shared" si="1"/>
        <v>16679</v>
      </c>
      <c r="K14" s="129">
        <f t="shared" si="1"/>
        <v>0</v>
      </c>
      <c r="L14" s="129">
        <f t="shared" si="1"/>
        <v>0</v>
      </c>
      <c r="M14" s="129">
        <f t="shared" si="1"/>
        <v>0</v>
      </c>
      <c r="N14" s="129">
        <f t="shared" si="1"/>
        <v>0</v>
      </c>
      <c r="O14" s="129">
        <f t="shared" si="1"/>
        <v>0</v>
      </c>
    </row>
    <row r="15" spans="1:15" ht="12.75">
      <c r="A15" s="126" t="s">
        <v>105</v>
      </c>
      <c r="B15" s="139" t="s">
        <v>106</v>
      </c>
      <c r="C15" s="128">
        <v>2008</v>
      </c>
      <c r="D15" s="140">
        <v>63249</v>
      </c>
      <c r="E15" s="129"/>
      <c r="F15" s="140">
        <v>9487</v>
      </c>
      <c r="G15" s="129"/>
      <c r="H15" s="130"/>
      <c r="I15" s="129"/>
      <c r="J15" s="131">
        <f t="shared" si="0"/>
        <v>9487</v>
      </c>
      <c r="K15" s="131"/>
      <c r="L15" s="141"/>
      <c r="M15" s="141"/>
      <c r="N15" s="141"/>
      <c r="O15" s="142"/>
    </row>
    <row r="16" spans="1:15" ht="12.75">
      <c r="A16" s="126" t="s">
        <v>107</v>
      </c>
      <c r="B16" s="127" t="s">
        <v>108</v>
      </c>
      <c r="C16" s="128">
        <v>2008</v>
      </c>
      <c r="D16" s="129">
        <v>56107</v>
      </c>
      <c r="E16" s="129"/>
      <c r="F16" s="129">
        <f>56107-49029</f>
        <v>7078</v>
      </c>
      <c r="G16" s="129">
        <v>49029</v>
      </c>
      <c r="H16" s="129"/>
      <c r="I16" s="130"/>
      <c r="J16" s="131">
        <f t="shared" si="0"/>
        <v>56107</v>
      </c>
      <c r="K16" s="131">
        <v>49029</v>
      </c>
      <c r="L16" s="141"/>
      <c r="M16" s="143"/>
      <c r="N16" s="141"/>
      <c r="O16" s="144"/>
    </row>
    <row r="17" spans="1:15" ht="12.75">
      <c r="A17" s="126"/>
      <c r="B17" s="145" t="s">
        <v>109</v>
      </c>
      <c r="C17" s="128">
        <v>2008</v>
      </c>
      <c r="D17" s="129">
        <v>1052000</v>
      </c>
      <c r="E17" s="135"/>
      <c r="F17" s="135"/>
      <c r="G17" s="135"/>
      <c r="H17" s="136"/>
      <c r="I17" s="136"/>
      <c r="J17" s="137">
        <f t="shared" si="0"/>
        <v>0</v>
      </c>
      <c r="K17" s="137"/>
      <c r="L17" s="146"/>
      <c r="M17" s="147"/>
      <c r="N17" s="146"/>
      <c r="O17" s="148"/>
    </row>
    <row r="18" spans="1:15" ht="12.75">
      <c r="A18" s="126"/>
      <c r="B18" s="145" t="s">
        <v>110</v>
      </c>
      <c r="C18" s="128"/>
      <c r="D18" s="129">
        <v>-17500</v>
      </c>
      <c r="E18" s="135"/>
      <c r="F18" s="135">
        <v>51725</v>
      </c>
      <c r="G18" s="135">
        <v>982775</v>
      </c>
      <c r="H18" s="136"/>
      <c r="I18" s="136"/>
      <c r="J18" s="137">
        <v>1034500</v>
      </c>
      <c r="K18" s="137">
        <v>982775</v>
      </c>
      <c r="L18" s="146"/>
      <c r="M18" s="147"/>
      <c r="N18" s="146"/>
      <c r="O18" s="148"/>
    </row>
    <row r="19" spans="1:15" ht="12.75">
      <c r="A19" s="126"/>
      <c r="B19" s="145" t="s">
        <v>111</v>
      </c>
      <c r="C19" s="128"/>
      <c r="D19" s="129"/>
      <c r="E19" s="135"/>
      <c r="F19" s="135"/>
      <c r="G19" s="135"/>
      <c r="H19" s="136"/>
      <c r="I19" s="136"/>
      <c r="J19" s="137">
        <f>-846373-168808</f>
        <v>-1015181</v>
      </c>
      <c r="K19" s="137">
        <v>-963952</v>
      </c>
      <c r="L19" s="146"/>
      <c r="M19" s="147"/>
      <c r="N19" s="146"/>
      <c r="O19" s="148"/>
    </row>
    <row r="20" spans="1:15" ht="12.75">
      <c r="A20" s="126"/>
      <c r="B20" s="127" t="s">
        <v>112</v>
      </c>
      <c r="C20" s="128"/>
      <c r="D20" s="129">
        <f>SUM(D17:D19)</f>
        <v>1034500</v>
      </c>
      <c r="E20" s="129">
        <f aca="true" t="shared" si="2" ref="E20:O20">SUM(E18:E19)</f>
        <v>0</v>
      </c>
      <c r="F20" s="129">
        <f t="shared" si="2"/>
        <v>51725</v>
      </c>
      <c r="G20" s="129">
        <f t="shared" si="2"/>
        <v>982775</v>
      </c>
      <c r="H20" s="129">
        <f t="shared" si="2"/>
        <v>0</v>
      </c>
      <c r="I20" s="129">
        <f t="shared" si="2"/>
        <v>0</v>
      </c>
      <c r="J20" s="129">
        <f t="shared" si="2"/>
        <v>19319</v>
      </c>
      <c r="K20" s="129">
        <f t="shared" si="2"/>
        <v>18823</v>
      </c>
      <c r="L20" s="129">
        <f t="shared" si="2"/>
        <v>0</v>
      </c>
      <c r="M20" s="129">
        <f t="shared" si="2"/>
        <v>0</v>
      </c>
      <c r="N20" s="129">
        <f t="shared" si="2"/>
        <v>0</v>
      </c>
      <c r="O20" s="129">
        <f t="shared" si="2"/>
        <v>0</v>
      </c>
    </row>
    <row r="21" spans="1:15" ht="12.75">
      <c r="A21" s="126" t="s">
        <v>113</v>
      </c>
      <c r="B21" s="127" t="s">
        <v>114</v>
      </c>
      <c r="C21" s="128">
        <v>2009</v>
      </c>
      <c r="D21" s="129">
        <v>1500</v>
      </c>
      <c r="E21" s="129"/>
      <c r="F21" s="129">
        <v>1500</v>
      </c>
      <c r="G21" s="149"/>
      <c r="H21" s="129"/>
      <c r="I21" s="130"/>
      <c r="J21" s="131">
        <f t="shared" si="0"/>
        <v>1500</v>
      </c>
      <c r="K21" s="131"/>
      <c r="L21" s="141"/>
      <c r="M21" s="143"/>
      <c r="N21" s="141"/>
      <c r="O21" s="144"/>
    </row>
    <row r="22" spans="1:15" ht="12.75">
      <c r="A22" s="126"/>
      <c r="B22" s="145" t="s">
        <v>115</v>
      </c>
      <c r="C22" s="128"/>
      <c r="D22" s="129"/>
      <c r="E22" s="129"/>
      <c r="F22" s="129"/>
      <c r="G22" s="149"/>
      <c r="H22" s="129"/>
      <c r="I22" s="130"/>
      <c r="J22" s="131">
        <f>-69+177+2849+684</f>
        <v>3641</v>
      </c>
      <c r="K22" s="131"/>
      <c r="L22" s="141"/>
      <c r="M22" s="143"/>
      <c r="N22" s="141"/>
      <c r="O22" s="144"/>
    </row>
    <row r="23" spans="1:15" ht="12.75">
      <c r="A23" s="126"/>
      <c r="B23" s="127" t="s">
        <v>116</v>
      </c>
      <c r="C23" s="128"/>
      <c r="D23" s="129"/>
      <c r="E23" s="129"/>
      <c r="F23" s="129"/>
      <c r="G23" s="149"/>
      <c r="H23" s="129"/>
      <c r="I23" s="130"/>
      <c r="J23" s="131">
        <f>SUM(J21:J22)</f>
        <v>5141</v>
      </c>
      <c r="K23" s="131"/>
      <c r="L23" s="141"/>
      <c r="M23" s="143"/>
      <c r="N23" s="141"/>
      <c r="O23" s="144"/>
    </row>
    <row r="24" spans="1:15" ht="12.75">
      <c r="A24" s="126" t="s">
        <v>117</v>
      </c>
      <c r="B24" s="127" t="s">
        <v>118</v>
      </c>
      <c r="C24" s="128">
        <v>2008</v>
      </c>
      <c r="D24" s="129">
        <v>4428</v>
      </c>
      <c r="E24" s="129"/>
      <c r="F24" s="129">
        <v>4428</v>
      </c>
      <c r="G24" s="149"/>
      <c r="H24" s="129"/>
      <c r="I24" s="130"/>
      <c r="J24" s="131">
        <f t="shared" si="0"/>
        <v>4428</v>
      </c>
      <c r="K24" s="131"/>
      <c r="L24" s="141"/>
      <c r="M24" s="141"/>
      <c r="N24" s="141"/>
      <c r="O24" s="142"/>
    </row>
    <row r="25" spans="1:15" ht="12.75">
      <c r="A25" s="126" t="s">
        <v>119</v>
      </c>
      <c r="B25" s="133" t="s">
        <v>120</v>
      </c>
      <c r="C25" s="128" t="s">
        <v>121</v>
      </c>
      <c r="D25" s="129">
        <v>40000</v>
      </c>
      <c r="E25" s="129"/>
      <c r="F25" s="130">
        <v>4000</v>
      </c>
      <c r="G25" s="129"/>
      <c r="H25" s="129"/>
      <c r="I25" s="129"/>
      <c r="J25" s="131">
        <f t="shared" si="0"/>
        <v>4000</v>
      </c>
      <c r="K25" s="131"/>
      <c r="L25" s="129"/>
      <c r="M25" s="129"/>
      <c r="N25" s="129"/>
      <c r="O25" s="132"/>
    </row>
    <row r="26" spans="1:15" ht="12.75">
      <c r="A26" s="126"/>
      <c r="B26" s="134" t="s">
        <v>122</v>
      </c>
      <c r="C26" s="128"/>
      <c r="D26" s="129">
        <v>53184</v>
      </c>
      <c r="E26" s="135"/>
      <c r="F26" s="136">
        <v>5328</v>
      </c>
      <c r="G26" s="135">
        <v>83856</v>
      </c>
      <c r="H26" s="135"/>
      <c r="I26" s="135"/>
      <c r="J26" s="137">
        <v>5328</v>
      </c>
      <c r="K26" s="137"/>
      <c r="L26" s="135"/>
      <c r="M26" s="135"/>
      <c r="N26" s="135"/>
      <c r="O26" s="138"/>
    </row>
    <row r="27" spans="1:15" ht="12.75">
      <c r="A27" s="126"/>
      <c r="B27" s="134" t="s">
        <v>123</v>
      </c>
      <c r="C27" s="128"/>
      <c r="D27" s="129"/>
      <c r="E27" s="135"/>
      <c r="F27" s="136"/>
      <c r="G27" s="135"/>
      <c r="H27" s="135"/>
      <c r="I27" s="135"/>
      <c r="J27" s="137"/>
      <c r="K27" s="137"/>
      <c r="L27" s="135"/>
      <c r="M27" s="135"/>
      <c r="N27" s="135"/>
      <c r="O27" s="138"/>
    </row>
    <row r="28" spans="1:15" ht="12.75">
      <c r="A28" s="126"/>
      <c r="B28" s="133" t="s">
        <v>124</v>
      </c>
      <c r="C28" s="128"/>
      <c r="D28" s="129">
        <f>SUM(D25:D27)</f>
        <v>93184</v>
      </c>
      <c r="E28" s="129">
        <f aca="true" t="shared" si="3" ref="E28:O28">SUM(E25:E27)</f>
        <v>0</v>
      </c>
      <c r="F28" s="129">
        <f t="shared" si="3"/>
        <v>9328</v>
      </c>
      <c r="G28" s="129">
        <f t="shared" si="3"/>
        <v>83856</v>
      </c>
      <c r="H28" s="129">
        <f t="shared" si="3"/>
        <v>0</v>
      </c>
      <c r="I28" s="129">
        <f t="shared" si="3"/>
        <v>0</v>
      </c>
      <c r="J28" s="129">
        <f t="shared" si="3"/>
        <v>9328</v>
      </c>
      <c r="K28" s="129">
        <f t="shared" si="3"/>
        <v>0</v>
      </c>
      <c r="L28" s="129">
        <f t="shared" si="3"/>
        <v>0</v>
      </c>
      <c r="M28" s="129">
        <f t="shared" si="3"/>
        <v>0</v>
      </c>
      <c r="N28" s="129">
        <f t="shared" si="3"/>
        <v>0</v>
      </c>
      <c r="O28" s="129">
        <f t="shared" si="3"/>
        <v>0</v>
      </c>
    </row>
    <row r="29" spans="1:15" ht="12.75">
      <c r="A29" s="126" t="s">
        <v>20</v>
      </c>
      <c r="B29" s="133" t="s">
        <v>125</v>
      </c>
      <c r="C29" s="128" t="s">
        <v>121</v>
      </c>
      <c r="D29" s="129"/>
      <c r="E29" s="129"/>
      <c r="F29" s="130">
        <v>2000</v>
      </c>
      <c r="G29" s="129">
        <f>SUM(F29)</f>
        <v>2000</v>
      </c>
      <c r="H29" s="129"/>
      <c r="I29" s="129"/>
      <c r="J29" s="131">
        <f>F29-H29</f>
        <v>2000</v>
      </c>
      <c r="K29" s="131">
        <v>2000</v>
      </c>
      <c r="L29" s="129"/>
      <c r="M29" s="129"/>
      <c r="N29" s="129"/>
      <c r="O29" s="132"/>
    </row>
    <row r="30" spans="1:15" ht="12.75">
      <c r="A30" s="126" t="s">
        <v>22</v>
      </c>
      <c r="B30" s="134" t="s">
        <v>126</v>
      </c>
      <c r="C30" s="128" t="s">
        <v>121</v>
      </c>
      <c r="D30" s="129">
        <v>199188</v>
      </c>
      <c r="E30" s="135"/>
      <c r="F30" s="136">
        <v>19919</v>
      </c>
      <c r="G30" s="135">
        <v>179269</v>
      </c>
      <c r="H30" s="135"/>
      <c r="I30" s="135"/>
      <c r="J30" s="137">
        <v>19919</v>
      </c>
      <c r="K30" s="137"/>
      <c r="L30" s="135"/>
      <c r="M30" s="135"/>
      <c r="N30" s="135"/>
      <c r="O30" s="138"/>
    </row>
    <row r="31" spans="1:15" ht="12.75">
      <c r="A31" s="126"/>
      <c r="B31" s="134" t="s">
        <v>127</v>
      </c>
      <c r="C31" s="128"/>
      <c r="D31" s="129"/>
      <c r="E31" s="135"/>
      <c r="F31" s="136"/>
      <c r="G31" s="135"/>
      <c r="H31" s="135"/>
      <c r="I31" s="135"/>
      <c r="J31" s="137"/>
      <c r="K31" s="137"/>
      <c r="L31" s="135"/>
      <c r="M31" s="135"/>
      <c r="N31" s="135"/>
      <c r="O31" s="138"/>
    </row>
    <row r="32" spans="1:15" ht="12.75">
      <c r="A32" s="126"/>
      <c r="B32" s="133" t="s">
        <v>128</v>
      </c>
      <c r="C32" s="128"/>
      <c r="D32" s="129">
        <f>SUM(D30:D31)</f>
        <v>199188</v>
      </c>
      <c r="E32" s="129">
        <f aca="true" t="shared" si="4" ref="E32:O32">SUM(E30:E31)</f>
        <v>0</v>
      </c>
      <c r="F32" s="129">
        <f t="shared" si="4"/>
        <v>19919</v>
      </c>
      <c r="G32" s="129">
        <f t="shared" si="4"/>
        <v>179269</v>
      </c>
      <c r="H32" s="129">
        <f t="shared" si="4"/>
        <v>0</v>
      </c>
      <c r="I32" s="129">
        <f t="shared" si="4"/>
        <v>0</v>
      </c>
      <c r="J32" s="129">
        <f t="shared" si="4"/>
        <v>19919</v>
      </c>
      <c r="K32" s="129">
        <f t="shared" si="4"/>
        <v>0</v>
      </c>
      <c r="L32" s="129">
        <f t="shared" si="4"/>
        <v>0</v>
      </c>
      <c r="M32" s="129">
        <f t="shared" si="4"/>
        <v>0</v>
      </c>
      <c r="N32" s="129">
        <f t="shared" si="4"/>
        <v>0</v>
      </c>
      <c r="O32" s="129">
        <f t="shared" si="4"/>
        <v>0</v>
      </c>
    </row>
    <row r="33" spans="1:15" ht="12.75">
      <c r="A33" s="126" t="s">
        <v>24</v>
      </c>
      <c r="B33" s="134" t="s">
        <v>129</v>
      </c>
      <c r="C33" s="128"/>
      <c r="D33" s="129">
        <v>639</v>
      </c>
      <c r="E33" s="135"/>
      <c r="F33" s="135">
        <v>639</v>
      </c>
      <c r="G33" s="135"/>
      <c r="H33" s="136"/>
      <c r="I33" s="136"/>
      <c r="J33" s="137">
        <v>639</v>
      </c>
      <c r="K33" s="137"/>
      <c r="L33" s="135"/>
      <c r="M33" s="135"/>
      <c r="N33" s="135"/>
      <c r="O33" s="138"/>
    </row>
    <row r="34" spans="1:15" ht="12.75">
      <c r="A34" s="126"/>
      <c r="B34" s="134" t="s">
        <v>130</v>
      </c>
      <c r="C34" s="128"/>
      <c r="D34" s="129"/>
      <c r="E34" s="135"/>
      <c r="F34" s="135"/>
      <c r="G34" s="135"/>
      <c r="H34" s="136"/>
      <c r="I34" s="136"/>
      <c r="J34" s="137"/>
      <c r="K34" s="137"/>
      <c r="L34" s="146"/>
      <c r="M34" s="147"/>
      <c r="N34" s="146"/>
      <c r="O34" s="148"/>
    </row>
    <row r="35" spans="1:15" ht="12.75">
      <c r="A35" s="126"/>
      <c r="B35" s="134" t="s">
        <v>131</v>
      </c>
      <c r="C35" s="150"/>
      <c r="D35" s="151">
        <f>SUM(D33:D34)</f>
        <v>639</v>
      </c>
      <c r="E35" s="151">
        <f aca="true" t="shared" si="5" ref="E35:O35">SUM(E33:E34)</f>
        <v>0</v>
      </c>
      <c r="F35" s="151">
        <f t="shared" si="5"/>
        <v>639</v>
      </c>
      <c r="G35" s="151">
        <f t="shared" si="5"/>
        <v>0</v>
      </c>
      <c r="H35" s="151">
        <f t="shared" si="5"/>
        <v>0</v>
      </c>
      <c r="I35" s="151">
        <f t="shared" si="5"/>
        <v>0</v>
      </c>
      <c r="J35" s="151">
        <f t="shared" si="5"/>
        <v>639</v>
      </c>
      <c r="K35" s="151">
        <f t="shared" si="5"/>
        <v>0</v>
      </c>
      <c r="L35" s="151">
        <f t="shared" si="5"/>
        <v>0</v>
      </c>
      <c r="M35" s="151">
        <f t="shared" si="5"/>
        <v>0</v>
      </c>
      <c r="N35" s="151">
        <f t="shared" si="5"/>
        <v>0</v>
      </c>
      <c r="O35" s="151">
        <f t="shared" si="5"/>
        <v>0</v>
      </c>
    </row>
    <row r="36" spans="1:15" ht="12.75">
      <c r="A36" s="152" t="s">
        <v>26</v>
      </c>
      <c r="B36" s="134" t="s">
        <v>132</v>
      </c>
      <c r="C36" s="150"/>
      <c r="D36" s="151"/>
      <c r="E36" s="151"/>
      <c r="F36" s="151"/>
      <c r="G36" s="151"/>
      <c r="H36" s="151"/>
      <c r="I36" s="151"/>
      <c r="J36" s="151">
        <v>192</v>
      </c>
      <c r="K36" s="151"/>
      <c r="L36" s="151"/>
      <c r="M36" s="151"/>
      <c r="N36" s="151"/>
      <c r="O36" s="151"/>
    </row>
    <row r="37" spans="1:15" s="153" customFormat="1" ht="12.75">
      <c r="A37" s="152"/>
      <c r="B37" s="133" t="s">
        <v>133</v>
      </c>
      <c r="C37" s="150"/>
      <c r="D37" s="151"/>
      <c r="E37" s="151"/>
      <c r="F37" s="151"/>
      <c r="G37" s="151"/>
      <c r="H37" s="151"/>
      <c r="I37" s="151"/>
      <c r="J37" s="151">
        <f>SUM(J36)</f>
        <v>192</v>
      </c>
      <c r="K37" s="151"/>
      <c r="L37" s="151"/>
      <c r="M37" s="151"/>
      <c r="N37" s="151"/>
      <c r="O37" s="151"/>
    </row>
    <row r="38" spans="1:15" ht="12.75">
      <c r="A38" s="154"/>
      <c r="B38" s="155" t="s">
        <v>134</v>
      </c>
      <c r="C38" s="156"/>
      <c r="D38" s="157">
        <f>SUM(D10,D11,D15,D16,D17,D21,D24,D25,D29)</f>
        <v>1433884</v>
      </c>
      <c r="E38" s="157">
        <f aca="true" t="shared" si="6" ref="E38:O38">SUM(E10,E11,E15,E16,E17,E21,E24,E25,E29)</f>
        <v>0</v>
      </c>
      <c r="F38" s="157">
        <f t="shared" si="6"/>
        <v>125143</v>
      </c>
      <c r="G38" s="157">
        <f>SUM(G10,G11,G15,G16,G17,G21,G24,G25,G29)</f>
        <v>51029</v>
      </c>
      <c r="H38" s="157">
        <f t="shared" si="6"/>
        <v>0</v>
      </c>
      <c r="I38" s="157">
        <f t="shared" si="6"/>
        <v>0</v>
      </c>
      <c r="J38" s="157">
        <f t="shared" si="6"/>
        <v>174172</v>
      </c>
      <c r="K38" s="157">
        <f t="shared" si="6"/>
        <v>51029</v>
      </c>
      <c r="L38" s="157">
        <f t="shared" si="6"/>
        <v>0</v>
      </c>
      <c r="M38" s="157">
        <f t="shared" si="6"/>
        <v>0</v>
      </c>
      <c r="N38" s="157">
        <f t="shared" si="6"/>
        <v>0</v>
      </c>
      <c r="O38" s="157">
        <f t="shared" si="6"/>
        <v>0</v>
      </c>
    </row>
    <row r="39" spans="1:15" ht="12.75">
      <c r="A39" s="154"/>
      <c r="B39" s="155" t="s">
        <v>135</v>
      </c>
      <c r="C39" s="156"/>
      <c r="D39" s="157">
        <f aca="true" t="shared" si="7" ref="D39:O39">SUM(D12,D18,D26,D30,D33)</f>
        <v>78024</v>
      </c>
      <c r="E39" s="157">
        <f t="shared" si="7"/>
        <v>0</v>
      </c>
      <c r="F39" s="157">
        <f t="shared" si="7"/>
        <v>-1310</v>
      </c>
      <c r="G39" s="157">
        <f t="shared" si="7"/>
        <v>1245900</v>
      </c>
      <c r="H39" s="157">
        <f t="shared" si="7"/>
        <v>0</v>
      </c>
      <c r="I39" s="157">
        <f t="shared" si="7"/>
        <v>0</v>
      </c>
      <c r="J39" s="157">
        <f t="shared" si="7"/>
        <v>981465</v>
      </c>
      <c r="K39" s="157">
        <f t="shared" si="7"/>
        <v>982775</v>
      </c>
      <c r="L39" s="157">
        <f t="shared" si="7"/>
        <v>0</v>
      </c>
      <c r="M39" s="157">
        <f t="shared" si="7"/>
        <v>0</v>
      </c>
      <c r="N39" s="157">
        <f t="shared" si="7"/>
        <v>0</v>
      </c>
      <c r="O39" s="157">
        <f t="shared" si="7"/>
        <v>0</v>
      </c>
    </row>
    <row r="40" spans="1:15" ht="12.75">
      <c r="A40" s="154"/>
      <c r="B40" s="155" t="s">
        <v>136</v>
      </c>
      <c r="C40" s="156"/>
      <c r="D40" s="157">
        <f aca="true" t="shared" si="8" ref="D40:I40">SUM(D13,D19,D27,D31,D34)</f>
        <v>0</v>
      </c>
      <c r="E40" s="157">
        <f t="shared" si="8"/>
        <v>0</v>
      </c>
      <c r="F40" s="157">
        <f t="shared" si="8"/>
        <v>0</v>
      </c>
      <c r="G40" s="157">
        <f t="shared" si="8"/>
        <v>0</v>
      </c>
      <c r="H40" s="157">
        <f t="shared" si="8"/>
        <v>0</v>
      </c>
      <c r="I40" s="157">
        <f t="shared" si="8"/>
        <v>0</v>
      </c>
      <c r="J40" s="157">
        <f>SUM(J13,J19,J22,J27,J31,J34,J36)</f>
        <v>-1011348</v>
      </c>
      <c r="K40" s="157">
        <f>SUM(K13,K19,K27,K31,K34)</f>
        <v>-963952</v>
      </c>
      <c r="L40" s="157">
        <f>SUM(L13,L19,L27,L31,L34)</f>
        <v>0</v>
      </c>
      <c r="M40" s="157">
        <f>SUM(M13,M19,M27,M31,M34)</f>
        <v>0</v>
      </c>
      <c r="N40" s="157">
        <f>SUM(N13,N19,N27,N31,N34)</f>
        <v>0</v>
      </c>
      <c r="O40" s="157">
        <f>SUM(O13,O19,O27,O31,O34)</f>
        <v>0</v>
      </c>
    </row>
    <row r="41" spans="1:15" ht="12.75">
      <c r="A41" s="154"/>
      <c r="B41" s="155" t="s">
        <v>137</v>
      </c>
      <c r="C41" s="156"/>
      <c r="D41" s="157">
        <f>SUM(D10,D14,D15,D20,D16,D21,D24,D28,D32,D35)</f>
        <v>1511908</v>
      </c>
      <c r="E41" s="157">
        <f>SUM(E10,E14,E15,E20,E16,E21,E24,E28,E32,E35)</f>
        <v>0</v>
      </c>
      <c r="F41" s="157">
        <f>SUM(F10,F14,F15,F20,F16,F21,F24,F28,F29,F32,F35)</f>
        <v>123833</v>
      </c>
      <c r="G41" s="157">
        <f>SUM(G10,G14,G15,G20,G16,G21,G24,G28,G29,G32,G35)</f>
        <v>1296929</v>
      </c>
      <c r="H41" s="157">
        <f>SUM(H10,H14,H15,H20,H16,H21,H24,H28,H29,H32,H35)</f>
        <v>0</v>
      </c>
      <c r="I41" s="157">
        <f>SUM(I10,I14,I15,I20,I16,I21,I24,I28,I29,I32,I35)</f>
        <v>0</v>
      </c>
      <c r="J41" s="157">
        <f>SUM(J10,J14,J15,J20,J16,J23,J24,J28,J29,J32,J35,J37)</f>
        <v>144289</v>
      </c>
      <c r="K41" s="157">
        <f>SUM(K10,K14,K15,K20,K16,K21,K24,K28,K29,K32,K35)</f>
        <v>69852</v>
      </c>
      <c r="L41" s="157">
        <f>SUM(L10,L14,L15,L20,L16,L21,L24,L28,L29,L32,L35)</f>
        <v>0</v>
      </c>
      <c r="M41" s="157">
        <f>SUM(M10,M14,M15,M20,M16,M21,M24,M28,M29,M32,M35)</f>
        <v>0</v>
      </c>
      <c r="N41" s="157">
        <f>SUM(N10,N14,N15,N20,N16,N21,N24,N28,N29,N32,N35)</f>
        <v>0</v>
      </c>
      <c r="O41" s="157">
        <f>SUM(O10,O14,O15,O20,O16,O21,O24,O28,O29,O32,O35)</f>
        <v>0</v>
      </c>
    </row>
    <row r="42" spans="4:15" ht="12.75"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ht="12.75">
      <c r="B43" s="159" t="s">
        <v>138</v>
      </c>
    </row>
    <row r="44" spans="2:11" ht="12.75">
      <c r="B44" s="159" t="s">
        <v>139</v>
      </c>
      <c r="J44" s="160"/>
      <c r="K44" s="158"/>
    </row>
    <row r="45" ht="12.75">
      <c r="B45" s="88" t="s">
        <v>140</v>
      </c>
    </row>
    <row r="53" ht="12.75">
      <c r="I53" s="161"/>
    </row>
  </sheetData>
  <sheetProtection selectLockedCells="1" selectUnlockedCells="1"/>
  <mergeCells count="7">
    <mergeCell ref="A4:O4"/>
    <mergeCell ref="D6:E6"/>
    <mergeCell ref="F6:G6"/>
    <mergeCell ref="H6:I6"/>
    <mergeCell ref="J6:K6"/>
    <mergeCell ref="L6:M6"/>
    <mergeCell ref="N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1"/>
  <sheetViews>
    <sheetView tabSelected="1" workbookViewId="0" topLeftCell="A105">
      <selection activeCell="E144" sqref="E144"/>
    </sheetView>
  </sheetViews>
  <sheetFormatPr defaultColWidth="9.140625" defaultRowHeight="12.75"/>
  <cols>
    <col min="1" max="1" width="6.57421875" style="162" customWidth="1"/>
    <col min="2" max="2" width="30.28125" style="162" customWidth="1"/>
    <col min="3" max="4" width="9.421875" style="162" customWidth="1"/>
    <col min="5" max="5" width="10.00390625" style="162" customWidth="1"/>
    <col min="6" max="6" width="9.00390625" style="163" customWidth="1"/>
    <col min="7" max="7" width="6.57421875" style="162" customWidth="1"/>
    <col min="8" max="8" width="27.421875" style="162" customWidth="1"/>
    <col min="9" max="10" width="9.421875" style="162" customWidth="1"/>
    <col min="11" max="11" width="9.57421875" style="162" customWidth="1"/>
    <col min="12" max="12" width="9.28125" style="163" customWidth="1"/>
  </cols>
  <sheetData>
    <row r="1" spans="1:12" ht="12.75" customHeight="1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2.75">
      <c r="A3" s="165" t="s">
        <v>142</v>
      </c>
      <c r="B3" s="166"/>
      <c r="C3" s="167"/>
      <c r="D3" s="167"/>
      <c r="E3" s="167"/>
      <c r="F3" s="167"/>
      <c r="G3" s="166"/>
      <c r="H3" s="166"/>
      <c r="I3" s="168" t="s">
        <v>143</v>
      </c>
      <c r="J3" s="168"/>
      <c r="K3" s="168"/>
      <c r="L3" s="168"/>
    </row>
    <row r="4" spans="1:12" ht="12.75" customHeight="1">
      <c r="A4" s="169" t="s">
        <v>144</v>
      </c>
      <c r="B4" s="170" t="s">
        <v>145</v>
      </c>
      <c r="C4" s="171" t="s">
        <v>146</v>
      </c>
      <c r="D4" s="171" t="s">
        <v>147</v>
      </c>
      <c r="E4" s="171" t="s">
        <v>148</v>
      </c>
      <c r="F4" s="171" t="s">
        <v>149</v>
      </c>
      <c r="G4" s="169" t="s">
        <v>144</v>
      </c>
      <c r="H4" s="170" t="s">
        <v>150</v>
      </c>
      <c r="I4" s="171" t="s">
        <v>146</v>
      </c>
      <c r="J4" s="171" t="s">
        <v>147</v>
      </c>
      <c r="K4" s="171" t="s">
        <v>148</v>
      </c>
      <c r="L4" s="171" t="s">
        <v>149</v>
      </c>
    </row>
    <row r="5" spans="1:12" ht="12.75" customHeight="1">
      <c r="A5" s="169"/>
      <c r="B5" s="170"/>
      <c r="C5" s="171"/>
      <c r="D5" s="171"/>
      <c r="E5" s="171"/>
      <c r="F5" s="171"/>
      <c r="G5" s="169"/>
      <c r="H5" s="170"/>
      <c r="I5" s="171"/>
      <c r="J5" s="171"/>
      <c r="K5" s="171"/>
      <c r="L5" s="171"/>
    </row>
    <row r="6" spans="1:12" ht="12.75" customHeight="1">
      <c r="A6" s="169"/>
      <c r="B6" s="170"/>
      <c r="C6" s="171"/>
      <c r="D6" s="171"/>
      <c r="E6" s="171"/>
      <c r="F6" s="171"/>
      <c r="G6" s="169"/>
      <c r="H6" s="170"/>
      <c r="I6" s="171"/>
      <c r="J6" s="171"/>
      <c r="K6" s="171"/>
      <c r="L6" s="171"/>
    </row>
    <row r="7" spans="1:12" ht="12.75">
      <c r="A7" s="172" t="s">
        <v>12</v>
      </c>
      <c r="B7" s="172" t="s">
        <v>151</v>
      </c>
      <c r="C7" s="173"/>
      <c r="D7" s="173"/>
      <c r="E7" s="173"/>
      <c r="F7" s="173"/>
      <c r="G7" s="172"/>
      <c r="H7" s="172" t="s">
        <v>152</v>
      </c>
      <c r="I7" s="173">
        <f>SUM(I8:I11,I18,I19)</f>
        <v>1150143</v>
      </c>
      <c r="J7" s="173">
        <f>SUM(J8:J11,J18,J19)</f>
        <v>104832</v>
      </c>
      <c r="K7" s="173">
        <f>SUM(K8:K11,K18,K19)</f>
        <v>-30213</v>
      </c>
      <c r="L7" s="173">
        <f>SUM(L8:L11,L18,L19)</f>
        <v>1224762</v>
      </c>
    </row>
    <row r="8" spans="1:12" ht="12.75">
      <c r="A8" s="174" t="s">
        <v>14</v>
      </c>
      <c r="B8" s="175" t="s">
        <v>153</v>
      </c>
      <c r="C8" s="176">
        <f>SUM(C51+C93)</f>
        <v>56599</v>
      </c>
      <c r="D8" s="176">
        <f>SUM(D51+D93)</f>
        <v>10758</v>
      </c>
      <c r="E8" s="176">
        <f>SUM(E51+E93)</f>
        <v>-6408</v>
      </c>
      <c r="F8" s="176">
        <f>SUM(F51+F93)</f>
        <v>60949</v>
      </c>
      <c r="G8" s="172" t="s">
        <v>12</v>
      </c>
      <c r="H8" s="172" t="s">
        <v>47</v>
      </c>
      <c r="I8" s="167">
        <f aca="true" t="shared" si="0" ref="I8:L10">SUM(I51+I93)</f>
        <v>487860</v>
      </c>
      <c r="J8" s="167">
        <f t="shared" si="0"/>
        <v>26278</v>
      </c>
      <c r="K8" s="167">
        <f t="shared" si="0"/>
        <v>-18671</v>
      </c>
      <c r="L8" s="167">
        <f t="shared" si="0"/>
        <v>495467</v>
      </c>
    </row>
    <row r="9" spans="1:12" ht="12.75">
      <c r="A9" s="174" t="s">
        <v>40</v>
      </c>
      <c r="B9" s="175" t="s">
        <v>154</v>
      </c>
      <c r="C9" s="176">
        <f>SUM(C10:C12)</f>
        <v>281420</v>
      </c>
      <c r="D9" s="176">
        <f>SUM(D10:D12)</f>
        <v>-3165</v>
      </c>
      <c r="E9" s="176">
        <f>SUM(E10:E12)</f>
        <v>30200</v>
      </c>
      <c r="F9" s="176">
        <f aca="true" t="shared" si="1" ref="F9:F22">SUM(F52+F94)</f>
        <v>292906</v>
      </c>
      <c r="G9" s="172" t="s">
        <v>155</v>
      </c>
      <c r="H9" s="172" t="s">
        <v>156</v>
      </c>
      <c r="I9" s="167">
        <f t="shared" si="0"/>
        <v>151657</v>
      </c>
      <c r="J9" s="167">
        <f t="shared" si="0"/>
        <v>7231</v>
      </c>
      <c r="K9" s="167">
        <f t="shared" si="0"/>
        <v>-10357</v>
      </c>
      <c r="L9" s="167">
        <f>SUM(L52+L94)</f>
        <v>148531</v>
      </c>
    </row>
    <row r="10" spans="1:12" ht="12.75">
      <c r="A10" s="177" t="s">
        <v>157</v>
      </c>
      <c r="B10" s="166" t="s">
        <v>158</v>
      </c>
      <c r="C10" s="167">
        <f aca="true" t="shared" si="2" ref="C10:D12">SUM(C53+C95)</f>
        <v>66800</v>
      </c>
      <c r="D10" s="167">
        <f t="shared" si="2"/>
        <v>0</v>
      </c>
      <c r="E10" s="167">
        <f>SUM(E53+E95)</f>
        <v>15500</v>
      </c>
      <c r="F10" s="176">
        <f t="shared" si="1"/>
        <v>82300</v>
      </c>
      <c r="G10" s="172" t="s">
        <v>159</v>
      </c>
      <c r="H10" s="172" t="s">
        <v>160</v>
      </c>
      <c r="I10" s="167">
        <f t="shared" si="0"/>
        <v>235346</v>
      </c>
      <c r="J10" s="167">
        <f t="shared" si="0"/>
        <v>48275</v>
      </c>
      <c r="K10" s="167">
        <f t="shared" si="0"/>
        <v>-16262</v>
      </c>
      <c r="L10" s="167">
        <f>SUM(L53+L95)</f>
        <v>267359</v>
      </c>
    </row>
    <row r="11" spans="1:12" ht="12.75">
      <c r="A11" s="177" t="s">
        <v>161</v>
      </c>
      <c r="B11" s="166" t="s">
        <v>162</v>
      </c>
      <c r="C11" s="167">
        <f t="shared" si="2"/>
        <v>211620</v>
      </c>
      <c r="D11" s="167">
        <f t="shared" si="2"/>
        <v>-3165</v>
      </c>
      <c r="E11" s="167">
        <f>SUM(E54+E96)</f>
        <v>-800</v>
      </c>
      <c r="F11" s="176">
        <f t="shared" si="1"/>
        <v>208406</v>
      </c>
      <c r="G11" s="172" t="s">
        <v>163</v>
      </c>
      <c r="H11" s="172" t="s">
        <v>164</v>
      </c>
      <c r="I11" s="167">
        <f>SUM(I12:I16)</f>
        <v>207419</v>
      </c>
      <c r="J11" s="167">
        <f>SUM(J12:J16)</f>
        <v>22773</v>
      </c>
      <c r="K11" s="167">
        <f>SUM(K12:K16)</f>
        <v>15307</v>
      </c>
      <c r="L11" s="167">
        <f>SUM(L54+L96)</f>
        <v>245499</v>
      </c>
    </row>
    <row r="12" spans="1:12" ht="12.75">
      <c r="A12" s="177" t="s">
        <v>165</v>
      </c>
      <c r="B12" s="166" t="s">
        <v>166</v>
      </c>
      <c r="C12" s="167">
        <f t="shared" si="2"/>
        <v>3000</v>
      </c>
      <c r="D12" s="167">
        <f t="shared" si="2"/>
        <v>0</v>
      </c>
      <c r="E12" s="167">
        <f>SUM(E55+E97)</f>
        <v>15500</v>
      </c>
      <c r="F12" s="176">
        <f t="shared" si="1"/>
        <v>2200</v>
      </c>
      <c r="G12" s="174" t="s">
        <v>14</v>
      </c>
      <c r="H12" s="166" t="s">
        <v>167</v>
      </c>
      <c r="I12" s="167">
        <f aca="true" t="shared" si="3" ref="I12:J16">SUM(I55+I97)</f>
        <v>20676</v>
      </c>
      <c r="J12" s="167">
        <f t="shared" si="3"/>
        <v>8136</v>
      </c>
      <c r="K12" s="167">
        <f aca="true" t="shared" si="4" ref="K12:L16">SUM(K55+K97)</f>
        <v>24</v>
      </c>
      <c r="L12" s="167">
        <f t="shared" si="4"/>
        <v>28836</v>
      </c>
    </row>
    <row r="13" spans="1:12" ht="12.75">
      <c r="A13" s="178" t="s">
        <v>168</v>
      </c>
      <c r="B13" s="172" t="s">
        <v>169</v>
      </c>
      <c r="C13" s="167"/>
      <c r="D13" s="167"/>
      <c r="E13" s="167"/>
      <c r="F13" s="176">
        <f t="shared" si="1"/>
        <v>0</v>
      </c>
      <c r="G13" s="174" t="s">
        <v>40</v>
      </c>
      <c r="H13" s="166" t="s">
        <v>170</v>
      </c>
      <c r="I13" s="167">
        <f t="shared" si="3"/>
        <v>13972</v>
      </c>
      <c r="J13" s="167">
        <f t="shared" si="3"/>
        <v>-559</v>
      </c>
      <c r="K13" s="167">
        <f>SUM(K56+K98)</f>
        <v>0</v>
      </c>
      <c r="L13" s="167">
        <f>SUM(L56+L98)</f>
        <v>13413</v>
      </c>
    </row>
    <row r="14" spans="1:12" ht="12.75">
      <c r="A14" s="174" t="s">
        <v>14</v>
      </c>
      <c r="B14" s="175" t="s">
        <v>171</v>
      </c>
      <c r="C14" s="176">
        <f>SUM(C15:C17)</f>
        <v>608307</v>
      </c>
      <c r="D14" s="176">
        <f>SUM(D15:D17)</f>
        <v>69436</v>
      </c>
      <c r="E14" s="176">
        <f>SUM(E15:E17)</f>
        <v>-11074</v>
      </c>
      <c r="F14" s="176">
        <f t="shared" si="1"/>
        <v>666669</v>
      </c>
      <c r="G14" s="174" t="s">
        <v>105</v>
      </c>
      <c r="H14" s="166" t="s">
        <v>172</v>
      </c>
      <c r="I14" s="167">
        <f t="shared" si="3"/>
        <v>166245</v>
      </c>
      <c r="J14" s="167">
        <f t="shared" si="3"/>
        <v>15196</v>
      </c>
      <c r="K14" s="167">
        <f t="shared" si="4"/>
        <v>12196</v>
      </c>
      <c r="L14" s="167">
        <f t="shared" si="4"/>
        <v>193637</v>
      </c>
    </row>
    <row r="15" spans="1:12" ht="12.75">
      <c r="A15" s="174" t="s">
        <v>173</v>
      </c>
      <c r="B15" s="166" t="s">
        <v>174</v>
      </c>
      <c r="C15" s="167">
        <f aca="true" t="shared" si="5" ref="C15:D19">SUM(C58+C100)</f>
        <v>415161</v>
      </c>
      <c r="D15" s="167">
        <f t="shared" si="5"/>
        <v>-24393</v>
      </c>
      <c r="E15" s="167">
        <f>SUM(E58+E100)</f>
        <v>77</v>
      </c>
      <c r="F15" s="176">
        <f t="shared" si="1"/>
        <v>390845</v>
      </c>
      <c r="G15" s="174" t="s">
        <v>107</v>
      </c>
      <c r="H15" s="166" t="s">
        <v>175</v>
      </c>
      <c r="I15" s="167">
        <f t="shared" si="3"/>
        <v>252</v>
      </c>
      <c r="J15" s="167">
        <f t="shared" si="3"/>
        <v>0</v>
      </c>
      <c r="K15" s="167">
        <f t="shared" si="4"/>
        <v>3087</v>
      </c>
      <c r="L15" s="167">
        <f t="shared" si="4"/>
        <v>3339</v>
      </c>
    </row>
    <row r="16" spans="1:12" ht="12.75">
      <c r="A16" s="174" t="s">
        <v>176</v>
      </c>
      <c r="B16" s="166" t="s">
        <v>177</v>
      </c>
      <c r="C16" s="167">
        <f t="shared" si="5"/>
        <v>882</v>
      </c>
      <c r="D16" s="167">
        <f t="shared" si="5"/>
        <v>93845</v>
      </c>
      <c r="E16" s="167">
        <f>SUM(E59+E101)</f>
        <v>-612</v>
      </c>
      <c r="F16" s="176">
        <f t="shared" si="1"/>
        <v>94115</v>
      </c>
      <c r="G16" s="174" t="s">
        <v>117</v>
      </c>
      <c r="H16" s="166" t="s">
        <v>178</v>
      </c>
      <c r="I16" s="167">
        <f t="shared" si="3"/>
        <v>6274</v>
      </c>
      <c r="J16" s="167">
        <f t="shared" si="3"/>
        <v>0</v>
      </c>
      <c r="K16" s="167">
        <f t="shared" si="4"/>
        <v>0</v>
      </c>
      <c r="L16" s="167">
        <f t="shared" si="4"/>
        <v>6274</v>
      </c>
    </row>
    <row r="17" spans="1:12" ht="12.75">
      <c r="A17" s="174" t="s">
        <v>179</v>
      </c>
      <c r="B17" s="166" t="s">
        <v>180</v>
      </c>
      <c r="C17" s="167">
        <f t="shared" si="5"/>
        <v>192264</v>
      </c>
      <c r="D17" s="167">
        <f t="shared" si="5"/>
        <v>-16</v>
      </c>
      <c r="E17" s="167">
        <f>SUM(E60+E102)</f>
        <v>-10539</v>
      </c>
      <c r="F17" s="176">
        <f t="shared" si="1"/>
        <v>181709</v>
      </c>
      <c r="G17" s="174"/>
      <c r="H17" s="166"/>
      <c r="I17" s="167"/>
      <c r="J17" s="167"/>
      <c r="K17" s="167"/>
      <c r="L17" s="167">
        <f>SUM(L60+L102)</f>
        <v>0</v>
      </c>
    </row>
    <row r="18" spans="1:12" ht="12.75">
      <c r="A18" s="172" t="s">
        <v>181</v>
      </c>
      <c r="B18" s="172" t="s">
        <v>182</v>
      </c>
      <c r="C18" s="167">
        <f t="shared" si="5"/>
        <v>40225</v>
      </c>
      <c r="D18" s="167">
        <f t="shared" si="5"/>
        <v>24194</v>
      </c>
      <c r="E18" s="167">
        <f>SUM(E61+E103)</f>
        <v>11664</v>
      </c>
      <c r="F18" s="176">
        <f t="shared" si="1"/>
        <v>76083</v>
      </c>
      <c r="G18" s="172" t="s">
        <v>183</v>
      </c>
      <c r="H18" s="172" t="s">
        <v>184</v>
      </c>
      <c r="I18" s="167">
        <f>SUM(I61+I103)</f>
        <v>62861</v>
      </c>
      <c r="J18" s="167">
        <f>SUM(J61+J103)</f>
        <v>0</v>
      </c>
      <c r="K18" s="167">
        <f>SUM(K61+K103)</f>
        <v>4470</v>
      </c>
      <c r="L18" s="167">
        <f>SUM(L61+L103)</f>
        <v>67331</v>
      </c>
    </row>
    <row r="19" spans="1:12" ht="12.75">
      <c r="A19" s="172" t="s">
        <v>185</v>
      </c>
      <c r="B19" s="172" t="s">
        <v>186</v>
      </c>
      <c r="C19" s="167">
        <f t="shared" si="5"/>
        <v>0</v>
      </c>
      <c r="D19" s="167">
        <f t="shared" si="5"/>
        <v>72</v>
      </c>
      <c r="E19" s="167">
        <f>SUM(E62+E104)</f>
        <v>24</v>
      </c>
      <c r="F19" s="176">
        <f t="shared" si="1"/>
        <v>96</v>
      </c>
      <c r="G19" s="172" t="s">
        <v>187</v>
      </c>
      <c r="H19" s="172" t="s">
        <v>188</v>
      </c>
      <c r="I19" s="167">
        <f>SUM(I20:I21)</f>
        <v>5000</v>
      </c>
      <c r="J19" s="167">
        <f>SUM(J20:J21)</f>
        <v>275</v>
      </c>
      <c r="K19" s="167">
        <f>SUM(K20:K21)</f>
        <v>-4700</v>
      </c>
      <c r="L19" s="167">
        <f>SUM(L62+L104)</f>
        <v>575</v>
      </c>
    </row>
    <row r="20" spans="1:12" ht="12.75">
      <c r="A20" s="174"/>
      <c r="B20" s="166" t="s">
        <v>189</v>
      </c>
      <c r="C20" s="167"/>
      <c r="D20" s="167"/>
      <c r="E20" s="167"/>
      <c r="F20" s="176">
        <f t="shared" si="1"/>
        <v>0</v>
      </c>
      <c r="G20" s="174" t="s">
        <v>14</v>
      </c>
      <c r="H20" s="166" t="s">
        <v>190</v>
      </c>
      <c r="I20" s="167">
        <f aca="true" t="shared" si="6" ref="I20:K21">SUM(I63+I105)</f>
        <v>0</v>
      </c>
      <c r="J20" s="167">
        <f t="shared" si="6"/>
        <v>275</v>
      </c>
      <c r="K20" s="167">
        <f t="shared" si="6"/>
        <v>300</v>
      </c>
      <c r="L20" s="167">
        <f>SUM(L63+L105)</f>
        <v>575</v>
      </c>
    </row>
    <row r="21" spans="1:12" ht="12.75">
      <c r="A21" s="172" t="s">
        <v>191</v>
      </c>
      <c r="B21" s="172" t="s">
        <v>192</v>
      </c>
      <c r="C21" s="176">
        <f aca="true" t="shared" si="7" ref="C21:E22">SUM(C64+C106)</f>
        <v>0</v>
      </c>
      <c r="D21" s="176">
        <f>SUM(D64+D106)</f>
        <v>0</v>
      </c>
      <c r="E21" s="176">
        <f t="shared" si="7"/>
        <v>0</v>
      </c>
      <c r="F21" s="176">
        <f t="shared" si="1"/>
        <v>0</v>
      </c>
      <c r="G21" s="174" t="s">
        <v>40</v>
      </c>
      <c r="H21" s="166" t="s">
        <v>193</v>
      </c>
      <c r="I21" s="167">
        <f t="shared" si="6"/>
        <v>5000</v>
      </c>
      <c r="J21" s="167">
        <f t="shared" si="6"/>
        <v>0</v>
      </c>
      <c r="K21" s="167">
        <f t="shared" si="6"/>
        <v>-5000</v>
      </c>
      <c r="L21" s="167">
        <f>SUM(L64+L106)</f>
        <v>0</v>
      </c>
    </row>
    <row r="22" spans="1:12" ht="12.75">
      <c r="A22" s="172" t="s">
        <v>187</v>
      </c>
      <c r="B22" s="172" t="s">
        <v>194</v>
      </c>
      <c r="C22" s="176">
        <f t="shared" si="7"/>
        <v>186</v>
      </c>
      <c r="D22" s="176">
        <f>SUM(D65+D107)</f>
        <v>253</v>
      </c>
      <c r="E22" s="176">
        <f t="shared" si="7"/>
        <v>0</v>
      </c>
      <c r="F22" s="176">
        <f t="shared" si="1"/>
        <v>28591</v>
      </c>
      <c r="G22" s="174"/>
      <c r="H22" s="166"/>
      <c r="I22" s="167"/>
      <c r="J22" s="167"/>
      <c r="K22" s="167"/>
      <c r="L22" s="167"/>
    </row>
    <row r="23" spans="1:12" ht="12.75">
      <c r="A23" s="174"/>
      <c r="B23" s="175" t="s">
        <v>195</v>
      </c>
      <c r="C23" s="176">
        <f>SUM(C8+C9+C14+C18+C19+C21+C22)</f>
        <v>986737</v>
      </c>
      <c r="D23" s="176">
        <f>SUM(D8+D9+D14+D18+D19+D21+D22)</f>
        <v>101548</v>
      </c>
      <c r="E23" s="176">
        <f>SUM(E8+E9+E14+E18+E19+E21+E22)</f>
        <v>24406</v>
      </c>
      <c r="F23" s="176">
        <f>SUM(F8+F9+F14+F18+F19+F21+F22)</f>
        <v>1125294</v>
      </c>
      <c r="G23" s="174"/>
      <c r="H23" s="175" t="s">
        <v>196</v>
      </c>
      <c r="I23" s="176">
        <f>SUM(I7)</f>
        <v>1150143</v>
      </c>
      <c r="J23" s="176">
        <f>SUM(J7)</f>
        <v>104832</v>
      </c>
      <c r="K23" s="176">
        <f>SUM(K7)</f>
        <v>-30213</v>
      </c>
      <c r="L23" s="176">
        <f>SUM(L7)</f>
        <v>1224762</v>
      </c>
    </row>
    <row r="24" spans="1:12" ht="12.75">
      <c r="A24" s="174"/>
      <c r="B24" s="179" t="s">
        <v>197</v>
      </c>
      <c r="C24" s="167">
        <f>SUM(C67+C109)</f>
        <v>163406</v>
      </c>
      <c r="D24" s="167">
        <f>SUM(D67+D109)</f>
        <v>-24868</v>
      </c>
      <c r="E24" s="167">
        <f>SUM(E67+E109)</f>
        <v>-39070</v>
      </c>
      <c r="F24" s="180">
        <f>L25-F23</f>
        <v>99468</v>
      </c>
      <c r="G24" s="174"/>
      <c r="H24" s="166" t="s">
        <v>198</v>
      </c>
      <c r="I24" s="180">
        <f>SUM(I67,I109)</f>
        <v>0</v>
      </c>
      <c r="J24" s="180">
        <f>SUM(J67,J109)</f>
        <v>0</v>
      </c>
      <c r="K24" s="180">
        <f>SUM(K67,K109)</f>
        <v>0</v>
      </c>
      <c r="L24" s="180">
        <f>SUM(L67,L109)</f>
        <v>0</v>
      </c>
    </row>
    <row r="25" spans="1:12" ht="12.75">
      <c r="A25" s="174"/>
      <c r="B25" s="172" t="s">
        <v>199</v>
      </c>
      <c r="C25" s="167">
        <f>SUM(C68+C110)</f>
        <v>0</v>
      </c>
      <c r="D25" s="167"/>
      <c r="E25" s="167"/>
      <c r="F25" s="167"/>
      <c r="G25" s="174"/>
      <c r="H25" s="175" t="s">
        <v>200</v>
      </c>
      <c r="I25" s="176">
        <f>SUM(I8+I9+I10+I11+I18+I19)</f>
        <v>1150143</v>
      </c>
      <c r="J25" s="176">
        <f>SUM(J8+J9+J10+J11+J18+J19)</f>
        <v>104832</v>
      </c>
      <c r="K25" s="176">
        <f>SUM(K8+K9+K10+K11+K18+K19)</f>
        <v>-30213</v>
      </c>
      <c r="L25" s="176">
        <f>SUM(L8+L9+L10+L11+L18+L19)</f>
        <v>1224762</v>
      </c>
    </row>
    <row r="26" spans="1:12" ht="12.75">
      <c r="A26" s="172" t="s">
        <v>201</v>
      </c>
      <c r="B26" s="172" t="s">
        <v>202</v>
      </c>
      <c r="C26" s="167">
        <f aca="true" t="shared" si="8" ref="C26:F29">SUM(C69+C111)</f>
        <v>22451</v>
      </c>
      <c r="D26" s="167">
        <f t="shared" si="8"/>
        <v>-21451</v>
      </c>
      <c r="E26" s="167">
        <f t="shared" si="8"/>
        <v>0</v>
      </c>
      <c r="F26" s="167">
        <f t="shared" si="8"/>
        <v>1000</v>
      </c>
      <c r="G26" s="174"/>
      <c r="H26" s="179" t="s">
        <v>203</v>
      </c>
      <c r="I26" s="167">
        <f aca="true" t="shared" si="9" ref="I26:L27">SUM(I69+I111)</f>
        <v>0</v>
      </c>
      <c r="J26" s="167">
        <f t="shared" si="9"/>
        <v>0</v>
      </c>
      <c r="K26" s="167">
        <f t="shared" si="9"/>
        <v>0</v>
      </c>
      <c r="L26" s="167">
        <f t="shared" si="9"/>
        <v>0</v>
      </c>
    </row>
    <row r="27" spans="1:12" ht="12.75">
      <c r="A27" s="172" t="s">
        <v>204</v>
      </c>
      <c r="B27" s="172" t="s">
        <v>205</v>
      </c>
      <c r="C27" s="167">
        <f t="shared" si="8"/>
        <v>10000</v>
      </c>
      <c r="D27" s="167">
        <f t="shared" si="8"/>
        <v>0</v>
      </c>
      <c r="E27" s="167">
        <f t="shared" si="8"/>
        <v>0</v>
      </c>
      <c r="F27" s="167">
        <f t="shared" si="8"/>
        <v>10000</v>
      </c>
      <c r="G27" s="174"/>
      <c r="H27" s="172" t="s">
        <v>206</v>
      </c>
      <c r="I27" s="167">
        <f t="shared" si="9"/>
        <v>0</v>
      </c>
      <c r="J27" s="167"/>
      <c r="K27" s="167"/>
      <c r="L27" s="167"/>
    </row>
    <row r="28" spans="1:12" ht="12.75">
      <c r="A28" s="172" t="s">
        <v>207</v>
      </c>
      <c r="B28" s="172" t="s">
        <v>208</v>
      </c>
      <c r="C28" s="167">
        <f t="shared" si="8"/>
        <v>14011</v>
      </c>
      <c r="D28" s="167">
        <f t="shared" si="8"/>
        <v>10394</v>
      </c>
      <c r="E28" s="167">
        <f t="shared" si="8"/>
        <v>0</v>
      </c>
      <c r="F28" s="167">
        <f t="shared" si="8"/>
        <v>24405</v>
      </c>
      <c r="G28" s="172" t="s">
        <v>159</v>
      </c>
      <c r="H28" s="172" t="s">
        <v>209</v>
      </c>
      <c r="I28" s="167">
        <f>SUM(I71+I113)</f>
        <v>26935</v>
      </c>
      <c r="J28" s="167">
        <f>SUM(J71+J113)</f>
        <v>0</v>
      </c>
      <c r="K28" s="167">
        <f>SUM(K71+K113)</f>
        <v>0</v>
      </c>
      <c r="L28" s="167">
        <f>SUM(L71+L113)</f>
        <v>26935</v>
      </c>
    </row>
    <row r="29" spans="1:12" ht="12.75">
      <c r="A29" s="172" t="s">
        <v>210</v>
      </c>
      <c r="B29" s="172" t="s">
        <v>211</v>
      </c>
      <c r="C29" s="167">
        <f t="shared" si="8"/>
        <v>6147</v>
      </c>
      <c r="D29" s="167">
        <f t="shared" si="8"/>
        <v>297</v>
      </c>
      <c r="E29" s="167">
        <f t="shared" si="8"/>
        <v>3532</v>
      </c>
      <c r="F29" s="167">
        <f t="shared" si="8"/>
        <v>9976</v>
      </c>
      <c r="G29" s="172" t="s">
        <v>163</v>
      </c>
      <c r="H29" s="172" t="s">
        <v>164</v>
      </c>
      <c r="I29" s="167">
        <f>SUM(I30:I31)</f>
        <v>0</v>
      </c>
      <c r="J29" s="167">
        <f>SUM(J30:J31)</f>
        <v>14</v>
      </c>
      <c r="K29" s="167">
        <f>SUM(K30:K31)</f>
        <v>0</v>
      </c>
      <c r="L29" s="167">
        <f aca="true" t="shared" si="10" ref="L29:L38">SUM(L72+L114)</f>
        <v>14</v>
      </c>
    </row>
    <row r="30" spans="1:12" ht="12.75">
      <c r="A30" s="172" t="s">
        <v>159</v>
      </c>
      <c r="B30" s="172" t="s">
        <v>212</v>
      </c>
      <c r="C30" s="167">
        <f>SUM(C31:C33)</f>
        <v>4000</v>
      </c>
      <c r="D30" s="167">
        <f>SUM(D31:D33)</f>
        <v>5953</v>
      </c>
      <c r="E30" s="167">
        <f>SUM(E31:E33)</f>
        <v>301</v>
      </c>
      <c r="F30" s="167">
        <f aca="true" t="shared" si="11" ref="F30:F38">SUM(F73+F115)</f>
        <v>10254</v>
      </c>
      <c r="G30" s="174" t="s">
        <v>14</v>
      </c>
      <c r="H30" s="166" t="s">
        <v>167</v>
      </c>
      <c r="I30" s="167">
        <f aca="true" t="shared" si="12" ref="I30:K31">SUM(I73+I115)</f>
        <v>0</v>
      </c>
      <c r="J30" s="167">
        <f t="shared" si="12"/>
        <v>0</v>
      </c>
      <c r="K30" s="167">
        <f t="shared" si="12"/>
        <v>0</v>
      </c>
      <c r="L30" s="167">
        <f t="shared" si="10"/>
        <v>0</v>
      </c>
    </row>
    <row r="31" spans="1:12" ht="12.75">
      <c r="A31" s="174" t="s">
        <v>14</v>
      </c>
      <c r="B31" s="181" t="s">
        <v>213</v>
      </c>
      <c r="C31" s="167">
        <f aca="true" t="shared" si="13" ref="C31:E35">SUM(C74+C116)</f>
        <v>0</v>
      </c>
      <c r="D31" s="167">
        <f t="shared" si="13"/>
        <v>0</v>
      </c>
      <c r="E31" s="167">
        <f t="shared" si="13"/>
        <v>0</v>
      </c>
      <c r="F31" s="167">
        <f t="shared" si="11"/>
        <v>0</v>
      </c>
      <c r="G31" s="174" t="s">
        <v>40</v>
      </c>
      <c r="H31" s="166" t="s">
        <v>214</v>
      </c>
      <c r="I31" s="167">
        <f t="shared" si="12"/>
        <v>0</v>
      </c>
      <c r="J31" s="167">
        <f t="shared" si="12"/>
        <v>14</v>
      </c>
      <c r="K31" s="167">
        <f t="shared" si="12"/>
        <v>0</v>
      </c>
      <c r="L31" s="167">
        <f t="shared" si="10"/>
        <v>14</v>
      </c>
    </row>
    <row r="32" spans="1:12" ht="12.75">
      <c r="A32" s="174" t="s">
        <v>40</v>
      </c>
      <c r="B32" s="181" t="s">
        <v>215</v>
      </c>
      <c r="C32" s="167">
        <f t="shared" si="13"/>
        <v>4000</v>
      </c>
      <c r="D32" s="167">
        <f t="shared" si="13"/>
        <v>5953</v>
      </c>
      <c r="E32" s="167">
        <f t="shared" si="13"/>
        <v>1</v>
      </c>
      <c r="F32" s="167">
        <f t="shared" si="11"/>
        <v>9954</v>
      </c>
      <c r="G32" s="172" t="s">
        <v>216</v>
      </c>
      <c r="H32" s="172" t="s">
        <v>217</v>
      </c>
      <c r="I32" s="167">
        <f>SUM(I33:I35)</f>
        <v>190047</v>
      </c>
      <c r="J32" s="167">
        <f>SUM(J33:J35)</f>
        <v>982775</v>
      </c>
      <c r="K32" s="167">
        <f>SUM(K33:K35)</f>
        <v>-1011348</v>
      </c>
      <c r="L32" s="167">
        <f t="shared" si="10"/>
        <v>161474</v>
      </c>
    </row>
    <row r="33" spans="1:12" ht="12.75">
      <c r="A33" s="174" t="s">
        <v>105</v>
      </c>
      <c r="B33" s="181" t="s">
        <v>218</v>
      </c>
      <c r="C33" s="167">
        <f t="shared" si="13"/>
        <v>0</v>
      </c>
      <c r="D33" s="167">
        <f t="shared" si="13"/>
        <v>0</v>
      </c>
      <c r="E33" s="167">
        <f t="shared" si="13"/>
        <v>300</v>
      </c>
      <c r="F33" s="167">
        <f t="shared" si="11"/>
        <v>300</v>
      </c>
      <c r="G33" s="174" t="s">
        <v>14</v>
      </c>
      <c r="H33" s="181" t="s">
        <v>91</v>
      </c>
      <c r="I33" s="167">
        <f aca="true" t="shared" si="14" ref="I33:K36">SUM(I76+I118)</f>
        <v>15875</v>
      </c>
      <c r="J33" s="167">
        <f aca="true" t="shared" si="15" ref="J33:J38">SUM(J76+J118)</f>
        <v>0</v>
      </c>
      <c r="K33" s="167">
        <f t="shared" si="14"/>
        <v>0</v>
      </c>
      <c r="L33" s="167">
        <f t="shared" si="10"/>
        <v>15875</v>
      </c>
    </row>
    <row r="34" spans="1:12" ht="12.75">
      <c r="A34" s="172" t="s">
        <v>219</v>
      </c>
      <c r="B34" s="172" t="s">
        <v>220</v>
      </c>
      <c r="C34" s="167">
        <f t="shared" si="13"/>
        <v>52835</v>
      </c>
      <c r="D34" s="167">
        <f t="shared" si="13"/>
        <v>982775</v>
      </c>
      <c r="E34" s="167">
        <f t="shared" si="13"/>
        <v>-963952</v>
      </c>
      <c r="F34" s="167">
        <f t="shared" si="11"/>
        <v>71658</v>
      </c>
      <c r="G34" s="174" t="s">
        <v>40</v>
      </c>
      <c r="H34" s="181" t="s">
        <v>90</v>
      </c>
      <c r="I34" s="167">
        <f t="shared" si="14"/>
        <v>174172</v>
      </c>
      <c r="J34" s="167">
        <f t="shared" si="15"/>
        <v>981465</v>
      </c>
      <c r="K34" s="167">
        <f t="shared" si="14"/>
        <v>-1011348</v>
      </c>
      <c r="L34" s="167">
        <f t="shared" si="10"/>
        <v>144289</v>
      </c>
    </row>
    <row r="35" spans="1:12" ht="12.75">
      <c r="A35" s="172" t="s">
        <v>221</v>
      </c>
      <c r="B35" s="172" t="s">
        <v>222</v>
      </c>
      <c r="C35" s="167">
        <f t="shared" si="13"/>
        <v>1073</v>
      </c>
      <c r="D35" s="167">
        <f t="shared" si="13"/>
        <v>0</v>
      </c>
      <c r="E35" s="167">
        <f t="shared" si="13"/>
        <v>0</v>
      </c>
      <c r="F35" s="167">
        <f t="shared" si="11"/>
        <v>1073</v>
      </c>
      <c r="G35" s="174" t="s">
        <v>105</v>
      </c>
      <c r="H35" s="166" t="s">
        <v>223</v>
      </c>
      <c r="I35" s="167">
        <f t="shared" si="14"/>
        <v>0</v>
      </c>
      <c r="J35" s="167">
        <f t="shared" si="15"/>
        <v>1310</v>
      </c>
      <c r="K35" s="167">
        <f t="shared" si="14"/>
        <v>0</v>
      </c>
      <c r="L35" s="167">
        <f t="shared" si="10"/>
        <v>1310</v>
      </c>
    </row>
    <row r="36" spans="1:12" ht="12.75">
      <c r="A36" s="172" t="s">
        <v>216</v>
      </c>
      <c r="B36" s="172" t="s">
        <v>224</v>
      </c>
      <c r="C36" s="167"/>
      <c r="D36" s="167"/>
      <c r="E36" s="167"/>
      <c r="F36" s="167">
        <f t="shared" si="11"/>
        <v>0</v>
      </c>
      <c r="G36" s="172" t="s">
        <v>183</v>
      </c>
      <c r="H36" s="172" t="s">
        <v>225</v>
      </c>
      <c r="I36" s="167">
        <f t="shared" si="14"/>
        <v>6116</v>
      </c>
      <c r="J36" s="167">
        <f t="shared" si="15"/>
        <v>0</v>
      </c>
      <c r="K36" s="167">
        <f t="shared" si="14"/>
        <v>0</v>
      </c>
      <c r="L36" s="167">
        <f t="shared" si="10"/>
        <v>6116</v>
      </c>
    </row>
    <row r="37" spans="1:12" ht="12.75">
      <c r="A37" s="172" t="s">
        <v>183</v>
      </c>
      <c r="B37" s="172" t="s">
        <v>225</v>
      </c>
      <c r="C37" s="167">
        <f aca="true" t="shared" si="16" ref="C37:E38">SUM(C80+C122)</f>
        <v>0</v>
      </c>
      <c r="D37" s="167">
        <f t="shared" si="16"/>
        <v>0</v>
      </c>
      <c r="E37" s="167">
        <f t="shared" si="16"/>
        <v>0</v>
      </c>
      <c r="F37" s="167">
        <f t="shared" si="11"/>
        <v>0</v>
      </c>
      <c r="G37" s="172" t="s">
        <v>187</v>
      </c>
      <c r="H37" s="172" t="s">
        <v>188</v>
      </c>
      <c r="I37" s="167">
        <f>SUM(I80+I122)</f>
        <v>0</v>
      </c>
      <c r="J37" s="167">
        <f t="shared" si="15"/>
        <v>153046</v>
      </c>
      <c r="K37" s="167">
        <f>SUM(K80+K122)</f>
        <v>0</v>
      </c>
      <c r="L37" s="167">
        <f t="shared" si="10"/>
        <v>153046</v>
      </c>
    </row>
    <row r="38" spans="1:12" ht="12.75">
      <c r="A38" s="172" t="s">
        <v>187</v>
      </c>
      <c r="B38" s="172" t="s">
        <v>194</v>
      </c>
      <c r="C38" s="167">
        <f t="shared" si="16"/>
        <v>112581</v>
      </c>
      <c r="D38" s="167">
        <f>SUM(D81+D123)</f>
        <v>157867</v>
      </c>
      <c r="E38" s="167">
        <f>SUM(E81+E123)</f>
        <v>-51229</v>
      </c>
      <c r="F38" s="167">
        <f t="shared" si="11"/>
        <v>219219</v>
      </c>
      <c r="G38" s="174" t="s">
        <v>14</v>
      </c>
      <c r="H38" s="166" t="s">
        <v>190</v>
      </c>
      <c r="I38" s="167">
        <v>0</v>
      </c>
      <c r="J38" s="167">
        <f t="shared" si="15"/>
        <v>153046</v>
      </c>
      <c r="K38" s="167">
        <f>SUM(K81+K123)</f>
        <v>0</v>
      </c>
      <c r="L38" s="167">
        <f t="shared" si="10"/>
        <v>153046</v>
      </c>
    </row>
    <row r="39" spans="1:12" ht="12.75">
      <c r="A39" s="174"/>
      <c r="B39" s="175" t="s">
        <v>226</v>
      </c>
      <c r="C39" s="176">
        <f>SUM(C26+C27+C28+C29+C30+C34++C35+C36+C37+C38)</f>
        <v>223098</v>
      </c>
      <c r="D39" s="176">
        <f>SUM(D26+D27+D28+D29+D30+D34++D35+D36+D37+D38)</f>
        <v>1135835</v>
      </c>
      <c r="E39" s="176">
        <f>SUM(E26+E27+E28+E29+E30+E34++E35+E36+E37+E38)</f>
        <v>-1011348</v>
      </c>
      <c r="F39" s="176">
        <f>SUM(F26+F27+F28+F29+F30+F34++F35+F36+F37+F38)</f>
        <v>347585</v>
      </c>
      <c r="G39" s="174"/>
      <c r="H39" s="175" t="s">
        <v>227</v>
      </c>
      <c r="I39" s="176">
        <f>SUM(I28+I29+I32+I36+I37)</f>
        <v>223098</v>
      </c>
      <c r="J39" s="176">
        <f>SUM(J28+J29+J32+J36+J37)</f>
        <v>1135835</v>
      </c>
      <c r="K39" s="176">
        <f>SUM(K28+K29+K32+K36+K37)</f>
        <v>-1011348</v>
      </c>
      <c r="L39" s="176">
        <f>SUM(L28+L29+L32+L36+L37)</f>
        <v>347585</v>
      </c>
    </row>
    <row r="40" spans="1:12" ht="12.75">
      <c r="A40" s="174"/>
      <c r="B40" s="175" t="s">
        <v>228</v>
      </c>
      <c r="C40" s="176">
        <f>SUM(C23,C39)</f>
        <v>1209835</v>
      </c>
      <c r="D40" s="176">
        <f>SUM(D23,D39)</f>
        <v>1237383</v>
      </c>
      <c r="E40" s="176">
        <f>SUM(E23,E39)</f>
        <v>-986942</v>
      </c>
      <c r="F40" s="176">
        <f>SUM(F23,F39)</f>
        <v>1472879</v>
      </c>
      <c r="G40" s="174"/>
      <c r="H40" s="175" t="s">
        <v>229</v>
      </c>
      <c r="I40" s="176">
        <f>SUM(I25,I39)</f>
        <v>1373241</v>
      </c>
      <c r="J40" s="176">
        <f>SUM(J25,J39)</f>
        <v>1240667</v>
      </c>
      <c r="K40" s="176">
        <f>SUM(K25,K39)</f>
        <v>-1041561</v>
      </c>
      <c r="L40" s="176">
        <f>SUM(L25,L39)</f>
        <v>1572347</v>
      </c>
    </row>
    <row r="41" spans="1:12" ht="12.75">
      <c r="A41" s="174"/>
      <c r="B41" s="179" t="s">
        <v>230</v>
      </c>
      <c r="C41" s="180"/>
      <c r="D41" s="180"/>
      <c r="E41" s="180">
        <f>K39-E39</f>
        <v>0</v>
      </c>
      <c r="F41" s="180">
        <f>L39-F39</f>
        <v>0</v>
      </c>
      <c r="G41" s="174"/>
      <c r="H41" s="166" t="s">
        <v>231</v>
      </c>
      <c r="I41" s="167">
        <f>C39-I39</f>
        <v>0</v>
      </c>
      <c r="J41" s="167">
        <f>D39-J39</f>
        <v>0</v>
      </c>
      <c r="K41" s="167"/>
      <c r="L41" s="167"/>
    </row>
    <row r="42" spans="1:12" ht="12.75">
      <c r="A42" s="174"/>
      <c r="B42" s="182" t="s">
        <v>232</v>
      </c>
      <c r="C42" s="183">
        <f>SUM(C41+C24)</f>
        <v>163406</v>
      </c>
      <c r="D42" s="183">
        <f>SUM(D41+D24)</f>
        <v>-24868</v>
      </c>
      <c r="E42" s="183">
        <f>SUM(E41+E24)</f>
        <v>-39070</v>
      </c>
      <c r="F42" s="183">
        <f>SUM(F41+F24)</f>
        <v>99468</v>
      </c>
      <c r="G42" s="174"/>
      <c r="H42" s="182" t="s">
        <v>233</v>
      </c>
      <c r="I42" s="176">
        <f>SUM(I24,I41)</f>
        <v>0</v>
      </c>
      <c r="J42" s="176">
        <f>SUM(J24,J41)</f>
        <v>0</v>
      </c>
      <c r="K42" s="176">
        <f>SUM(K24,K41)</f>
        <v>0</v>
      </c>
      <c r="L42" s="176">
        <f>SUM(L24,L41)</f>
        <v>0</v>
      </c>
    </row>
    <row r="43" spans="1:12" ht="12.75">
      <c r="A43" s="174"/>
      <c r="B43" s="175" t="s">
        <v>234</v>
      </c>
      <c r="C43" s="176">
        <f>SUM(C40+C42)</f>
        <v>1373241</v>
      </c>
      <c r="D43" s="176">
        <f>SUM(D40+D42)</f>
        <v>1212515</v>
      </c>
      <c r="E43" s="176">
        <f>SUM(E40+E42)</f>
        <v>-1026012</v>
      </c>
      <c r="F43" s="176">
        <f>SUM(F40+F42)</f>
        <v>1572347</v>
      </c>
      <c r="G43" s="174"/>
      <c r="H43" s="175" t="s">
        <v>235</v>
      </c>
      <c r="I43" s="176">
        <f>SUM(I40,I42)</f>
        <v>1373241</v>
      </c>
      <c r="J43" s="176">
        <f>SUM(J40,J42)</f>
        <v>1240667</v>
      </c>
      <c r="K43" s="176">
        <f>SUM(K40,K42)</f>
        <v>-1041561</v>
      </c>
      <c r="L43" s="176">
        <f>SUM(L40,L42)</f>
        <v>1572347</v>
      </c>
    </row>
    <row r="44" spans="1:12" ht="12.75" customHeight="1">
      <c r="A44" s="164" t="s">
        <v>236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</row>
    <row r="45" spans="1:12" ht="12.7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</row>
    <row r="46" spans="1:12" ht="12.75">
      <c r="A46" s="165" t="s">
        <v>237</v>
      </c>
      <c r="B46" s="166"/>
      <c r="C46" s="167"/>
      <c r="D46" s="167"/>
      <c r="E46" s="167"/>
      <c r="F46" s="167"/>
      <c r="G46" s="166"/>
      <c r="H46" s="166"/>
      <c r="I46" s="168" t="s">
        <v>143</v>
      </c>
      <c r="J46" s="168"/>
      <c r="K46" s="168"/>
      <c r="L46" s="168"/>
    </row>
    <row r="47" spans="1:12" ht="12.75" customHeight="1">
      <c r="A47" s="169" t="s">
        <v>144</v>
      </c>
      <c r="B47" s="170" t="s">
        <v>145</v>
      </c>
      <c r="C47" s="171" t="s">
        <v>146</v>
      </c>
      <c r="D47" s="171" t="s">
        <v>147</v>
      </c>
      <c r="E47" s="171" t="s">
        <v>148</v>
      </c>
      <c r="F47" s="171" t="s">
        <v>149</v>
      </c>
      <c r="G47" s="169" t="s">
        <v>144</v>
      </c>
      <c r="H47" s="170" t="s">
        <v>150</v>
      </c>
      <c r="I47" s="171" t="s">
        <v>146</v>
      </c>
      <c r="J47" s="171" t="s">
        <v>147</v>
      </c>
      <c r="K47" s="171" t="s">
        <v>148</v>
      </c>
      <c r="L47" s="171" t="s">
        <v>149</v>
      </c>
    </row>
    <row r="48" spans="1:12" ht="12.75" customHeight="1">
      <c r="A48" s="169"/>
      <c r="B48" s="170"/>
      <c r="C48" s="171"/>
      <c r="D48" s="171"/>
      <c r="E48" s="171"/>
      <c r="F48" s="171"/>
      <c r="G48" s="169"/>
      <c r="H48" s="170"/>
      <c r="I48" s="171"/>
      <c r="J48" s="171"/>
      <c r="K48" s="171"/>
      <c r="L48" s="171"/>
    </row>
    <row r="49" spans="1:12" ht="12.75" customHeight="1">
      <c r="A49" s="169"/>
      <c r="B49" s="170"/>
      <c r="C49" s="171"/>
      <c r="D49" s="171"/>
      <c r="E49" s="171"/>
      <c r="F49" s="171"/>
      <c r="G49" s="169"/>
      <c r="H49" s="170"/>
      <c r="I49" s="171"/>
      <c r="J49" s="171"/>
      <c r="K49" s="171"/>
      <c r="L49" s="171"/>
    </row>
    <row r="50" spans="1:12" ht="12.75">
      <c r="A50" s="172" t="s">
        <v>12</v>
      </c>
      <c r="B50" s="172" t="s">
        <v>151</v>
      </c>
      <c r="C50" s="173"/>
      <c r="D50" s="173"/>
      <c r="E50" s="173"/>
      <c r="F50" s="173"/>
      <c r="G50" s="172"/>
      <c r="H50" s="172" t="s">
        <v>152</v>
      </c>
      <c r="I50" s="173">
        <f>SUM(I51:I53,I54,I61,I62)</f>
        <v>1568</v>
      </c>
      <c r="J50" s="173">
        <f>SUM(J51:J53,J54,J61,J62)</f>
        <v>253</v>
      </c>
      <c r="K50" s="173">
        <f>SUM(K51:K53,K54,K61,K62)</f>
        <v>-126</v>
      </c>
      <c r="L50" s="173">
        <f>SUM(L51:L53,L54,L61,L62)</f>
        <v>1695</v>
      </c>
    </row>
    <row r="51" spans="1:12" ht="12.75">
      <c r="A51" s="174" t="s">
        <v>14</v>
      </c>
      <c r="B51" s="175" t="s">
        <v>153</v>
      </c>
      <c r="C51" s="176">
        <v>0</v>
      </c>
      <c r="D51" s="176">
        <v>0</v>
      </c>
      <c r="E51" s="176">
        <v>0</v>
      </c>
      <c r="F51" s="176">
        <f>SUM(C51:E51)</f>
        <v>0</v>
      </c>
      <c r="G51" s="172" t="s">
        <v>12</v>
      </c>
      <c r="H51" s="172" t="s">
        <v>47</v>
      </c>
      <c r="I51" s="167">
        <v>600</v>
      </c>
      <c r="J51" s="167">
        <v>-30</v>
      </c>
      <c r="K51" s="167"/>
      <c r="L51" s="167">
        <f>SUM(I51:K51)</f>
        <v>570</v>
      </c>
    </row>
    <row r="52" spans="1:12" ht="12.75">
      <c r="A52" s="174" t="s">
        <v>40</v>
      </c>
      <c r="B52" s="175" t="s">
        <v>154</v>
      </c>
      <c r="C52" s="176">
        <v>0</v>
      </c>
      <c r="D52" s="176">
        <v>0</v>
      </c>
      <c r="E52" s="176">
        <v>0</v>
      </c>
      <c r="F52" s="176">
        <f aca="true" t="shared" si="17" ref="F52:F65">SUM(C52:E52)</f>
        <v>0</v>
      </c>
      <c r="G52" s="172" t="s">
        <v>155</v>
      </c>
      <c r="H52" s="172" t="s">
        <v>156</v>
      </c>
      <c r="I52" s="167">
        <v>100</v>
      </c>
      <c r="J52" s="167"/>
      <c r="K52" s="167"/>
      <c r="L52" s="167">
        <f aca="true" t="shared" si="18" ref="L52:L64">SUM(I52:K52)</f>
        <v>100</v>
      </c>
    </row>
    <row r="53" spans="1:12" ht="12.75">
      <c r="A53" s="177" t="s">
        <v>157</v>
      </c>
      <c r="B53" s="166" t="s">
        <v>158</v>
      </c>
      <c r="C53" s="167">
        <v>0</v>
      </c>
      <c r="D53" s="167">
        <v>0</v>
      </c>
      <c r="E53" s="167">
        <v>0</v>
      </c>
      <c r="F53" s="176">
        <f t="shared" si="17"/>
        <v>0</v>
      </c>
      <c r="G53" s="172" t="s">
        <v>159</v>
      </c>
      <c r="H53" s="172" t="s">
        <v>160</v>
      </c>
      <c r="I53" s="167">
        <v>330</v>
      </c>
      <c r="J53" s="167">
        <v>8</v>
      </c>
      <c r="K53" s="167"/>
      <c r="L53" s="167">
        <f t="shared" si="18"/>
        <v>338</v>
      </c>
    </row>
    <row r="54" spans="1:12" ht="12.75">
      <c r="A54" s="177" t="s">
        <v>161</v>
      </c>
      <c r="B54" s="166" t="s">
        <v>162</v>
      </c>
      <c r="C54" s="167"/>
      <c r="D54" s="167"/>
      <c r="E54" s="167"/>
      <c r="F54" s="176">
        <f t="shared" si="17"/>
        <v>0</v>
      </c>
      <c r="G54" s="172" t="s">
        <v>163</v>
      </c>
      <c r="H54" s="172" t="s">
        <v>164</v>
      </c>
      <c r="I54" s="167">
        <f>SUM(I55:I59)</f>
        <v>538</v>
      </c>
      <c r="J54" s="167">
        <f>SUM(J55:J59)</f>
        <v>0</v>
      </c>
      <c r="K54" s="167">
        <f>SUM(K55:K59)</f>
        <v>-126</v>
      </c>
      <c r="L54" s="167">
        <f t="shared" si="18"/>
        <v>412</v>
      </c>
    </row>
    <row r="55" spans="1:12" ht="12.75">
      <c r="A55" s="177" t="s">
        <v>165</v>
      </c>
      <c r="B55" s="166" t="s">
        <v>166</v>
      </c>
      <c r="C55" s="167"/>
      <c r="D55" s="167"/>
      <c r="E55" s="167"/>
      <c r="F55" s="176">
        <f t="shared" si="17"/>
        <v>0</v>
      </c>
      <c r="G55" s="174" t="s">
        <v>14</v>
      </c>
      <c r="H55" s="166" t="s">
        <v>167</v>
      </c>
      <c r="I55" s="167">
        <v>320</v>
      </c>
      <c r="J55" s="167"/>
      <c r="K55" s="167">
        <v>-126</v>
      </c>
      <c r="L55" s="167">
        <f t="shared" si="18"/>
        <v>194</v>
      </c>
    </row>
    <row r="56" spans="1:12" ht="12.75">
      <c r="A56" s="178" t="s">
        <v>168</v>
      </c>
      <c r="B56" s="172" t="s">
        <v>169</v>
      </c>
      <c r="C56" s="167"/>
      <c r="D56" s="167"/>
      <c r="E56" s="167"/>
      <c r="F56" s="176">
        <f t="shared" si="17"/>
        <v>0</v>
      </c>
      <c r="G56" s="174" t="s">
        <v>40</v>
      </c>
      <c r="H56" s="166" t="s">
        <v>170</v>
      </c>
      <c r="I56" s="167">
        <v>0</v>
      </c>
      <c r="J56" s="167"/>
      <c r="K56" s="167"/>
      <c r="L56" s="167">
        <f t="shared" si="18"/>
        <v>0</v>
      </c>
    </row>
    <row r="57" spans="1:12" ht="12.75">
      <c r="A57" s="174" t="s">
        <v>14</v>
      </c>
      <c r="B57" s="175" t="s">
        <v>171</v>
      </c>
      <c r="C57" s="176">
        <f>SUM(C58:C60)</f>
        <v>882</v>
      </c>
      <c r="D57" s="176">
        <f>SUM(D58:D60)</f>
        <v>0</v>
      </c>
      <c r="E57" s="176">
        <f>SUM(E58:E60)</f>
        <v>-126</v>
      </c>
      <c r="F57" s="176">
        <f t="shared" si="17"/>
        <v>756</v>
      </c>
      <c r="G57" s="174" t="s">
        <v>105</v>
      </c>
      <c r="H57" s="166" t="s">
        <v>172</v>
      </c>
      <c r="I57" s="167">
        <v>0</v>
      </c>
      <c r="J57" s="167"/>
      <c r="K57" s="167"/>
      <c r="L57" s="167">
        <f t="shared" si="18"/>
        <v>0</v>
      </c>
    </row>
    <row r="58" spans="1:12" ht="12.75">
      <c r="A58" s="174" t="s">
        <v>173</v>
      </c>
      <c r="B58" s="166" t="s">
        <v>174</v>
      </c>
      <c r="C58" s="167">
        <v>0</v>
      </c>
      <c r="D58" s="167">
        <v>0</v>
      </c>
      <c r="E58" s="167">
        <v>0</v>
      </c>
      <c r="F58" s="176">
        <f t="shared" si="17"/>
        <v>0</v>
      </c>
      <c r="G58" s="174" t="s">
        <v>107</v>
      </c>
      <c r="H58" s="166" t="s">
        <v>175</v>
      </c>
      <c r="I58" s="167">
        <v>0</v>
      </c>
      <c r="J58" s="167"/>
      <c r="K58" s="167"/>
      <c r="L58" s="167">
        <f t="shared" si="18"/>
        <v>0</v>
      </c>
    </row>
    <row r="59" spans="1:12" ht="12.75">
      <c r="A59" s="174" t="s">
        <v>176</v>
      </c>
      <c r="B59" s="166" t="s">
        <v>177</v>
      </c>
      <c r="C59" s="167">
        <v>882</v>
      </c>
      <c r="D59" s="167"/>
      <c r="E59" s="167">
        <v>-126</v>
      </c>
      <c r="F59" s="176">
        <f t="shared" si="17"/>
        <v>756</v>
      </c>
      <c r="G59" s="174" t="s">
        <v>117</v>
      </c>
      <c r="H59" s="166" t="s">
        <v>178</v>
      </c>
      <c r="I59" s="167">
        <v>218</v>
      </c>
      <c r="J59" s="167"/>
      <c r="K59" s="167"/>
      <c r="L59" s="167">
        <f t="shared" si="18"/>
        <v>218</v>
      </c>
    </row>
    <row r="60" spans="1:12" ht="12.75">
      <c r="A60" s="174" t="s">
        <v>179</v>
      </c>
      <c r="B60" s="166" t="s">
        <v>180</v>
      </c>
      <c r="C60" s="167">
        <v>0</v>
      </c>
      <c r="D60" s="167"/>
      <c r="E60" s="167"/>
      <c r="F60" s="176">
        <f t="shared" si="17"/>
        <v>0</v>
      </c>
      <c r="G60" s="174"/>
      <c r="H60" s="166"/>
      <c r="I60" s="167"/>
      <c r="J60" s="167"/>
      <c r="K60" s="167"/>
      <c r="L60" s="167">
        <f t="shared" si="18"/>
        <v>0</v>
      </c>
    </row>
    <row r="61" spans="1:12" ht="12.75">
      <c r="A61" s="172" t="s">
        <v>181</v>
      </c>
      <c r="B61" s="172" t="s">
        <v>182</v>
      </c>
      <c r="C61" s="167">
        <v>500</v>
      </c>
      <c r="D61" s="167"/>
      <c r="E61" s="167"/>
      <c r="F61" s="176">
        <f t="shared" si="17"/>
        <v>500</v>
      </c>
      <c r="G61" s="172" t="s">
        <v>183</v>
      </c>
      <c r="H61" s="172" t="s">
        <v>184</v>
      </c>
      <c r="I61" s="167"/>
      <c r="J61" s="167"/>
      <c r="K61" s="167"/>
      <c r="L61" s="167">
        <f t="shared" si="18"/>
        <v>0</v>
      </c>
    </row>
    <row r="62" spans="1:12" ht="12.75">
      <c r="A62" s="172" t="s">
        <v>185</v>
      </c>
      <c r="B62" s="172" t="s">
        <v>186</v>
      </c>
      <c r="C62" s="167"/>
      <c r="D62" s="167"/>
      <c r="E62" s="167"/>
      <c r="F62" s="176">
        <f t="shared" si="17"/>
        <v>0</v>
      </c>
      <c r="G62" s="172" t="s">
        <v>187</v>
      </c>
      <c r="H62" s="172" t="s">
        <v>188</v>
      </c>
      <c r="I62" s="167">
        <f>SUM(I63:I65)</f>
        <v>0</v>
      </c>
      <c r="J62" s="167">
        <f>SUM(J63:J65)</f>
        <v>275</v>
      </c>
      <c r="K62" s="167">
        <f>SUM(K63:K65)</f>
        <v>0</v>
      </c>
      <c r="L62" s="167">
        <f t="shared" si="18"/>
        <v>275</v>
      </c>
    </row>
    <row r="63" spans="1:12" ht="12.75">
      <c r="A63" s="174"/>
      <c r="B63" s="166" t="s">
        <v>189</v>
      </c>
      <c r="C63" s="167"/>
      <c r="D63" s="167"/>
      <c r="E63" s="167"/>
      <c r="F63" s="176">
        <f t="shared" si="17"/>
        <v>0</v>
      </c>
      <c r="G63" s="174" t="s">
        <v>14</v>
      </c>
      <c r="H63" s="166" t="s">
        <v>190</v>
      </c>
      <c r="I63" s="167"/>
      <c r="J63" s="167">
        <v>275</v>
      </c>
      <c r="K63" s="167"/>
      <c r="L63" s="167">
        <f t="shared" si="18"/>
        <v>275</v>
      </c>
    </row>
    <row r="64" spans="1:12" ht="12.75">
      <c r="A64" s="172" t="s">
        <v>191</v>
      </c>
      <c r="B64" s="172" t="s">
        <v>192</v>
      </c>
      <c r="C64" s="176">
        <v>0</v>
      </c>
      <c r="D64" s="176">
        <v>0</v>
      </c>
      <c r="E64" s="176">
        <v>0</v>
      </c>
      <c r="F64" s="176">
        <f t="shared" si="17"/>
        <v>0</v>
      </c>
      <c r="G64" s="174" t="s">
        <v>40</v>
      </c>
      <c r="H64" s="166" t="s">
        <v>193</v>
      </c>
      <c r="I64" s="167"/>
      <c r="J64" s="167"/>
      <c r="K64" s="167"/>
      <c r="L64" s="167">
        <f t="shared" si="18"/>
        <v>0</v>
      </c>
    </row>
    <row r="65" spans="1:12" ht="12.75">
      <c r="A65" s="172" t="s">
        <v>187</v>
      </c>
      <c r="B65" s="172" t="s">
        <v>194</v>
      </c>
      <c r="C65" s="167">
        <v>186</v>
      </c>
      <c r="D65" s="167">
        <v>253</v>
      </c>
      <c r="E65" s="167"/>
      <c r="F65" s="176">
        <f t="shared" si="17"/>
        <v>439</v>
      </c>
      <c r="G65" s="174"/>
      <c r="H65" s="166"/>
      <c r="I65" s="167"/>
      <c r="J65" s="167"/>
      <c r="K65" s="167"/>
      <c r="L65" s="167"/>
    </row>
    <row r="66" spans="1:12" ht="12.75">
      <c r="A66" s="174"/>
      <c r="B66" s="175" t="s">
        <v>195</v>
      </c>
      <c r="C66" s="176">
        <f>SUM(C51+C52+C57+C61+C62+C64+C65)</f>
        <v>1568</v>
      </c>
      <c r="D66" s="176">
        <f>SUM(D51+D52+D57+D61+D62+D64+D65)</f>
        <v>253</v>
      </c>
      <c r="E66" s="176">
        <f>SUM(E51+E52+E57+E61+E62+E64+E65)</f>
        <v>-126</v>
      </c>
      <c r="F66" s="176">
        <f>SUM(F51+F52+F57+F61+F62+F64+F65)</f>
        <v>1695</v>
      </c>
      <c r="G66" s="174"/>
      <c r="H66" s="175" t="s">
        <v>196</v>
      </c>
      <c r="I66" s="176">
        <f>SUM(I50)</f>
        <v>1568</v>
      </c>
      <c r="J66" s="176">
        <f>SUM(J50)</f>
        <v>253</v>
      </c>
      <c r="K66" s="176">
        <f>SUM(K50)</f>
        <v>-126</v>
      </c>
      <c r="L66" s="176">
        <f>SUM(L50)</f>
        <v>1695</v>
      </c>
    </row>
    <row r="67" spans="1:12" ht="12.75">
      <c r="A67" s="174"/>
      <c r="B67" s="179" t="s">
        <v>197</v>
      </c>
      <c r="C67" s="180"/>
      <c r="D67" s="180"/>
      <c r="E67" s="180"/>
      <c r="F67" s="180"/>
      <c r="G67" s="174"/>
      <c r="H67" s="166" t="s">
        <v>198</v>
      </c>
      <c r="I67" s="180"/>
      <c r="J67" s="180"/>
      <c r="K67" s="180"/>
      <c r="L67" s="167"/>
    </row>
    <row r="68" spans="1:12" ht="12.75">
      <c r="A68" s="174"/>
      <c r="B68" s="172" t="s">
        <v>199</v>
      </c>
      <c r="C68" s="167"/>
      <c r="D68" s="167"/>
      <c r="E68" s="167"/>
      <c r="F68" s="167"/>
      <c r="G68" s="174"/>
      <c r="H68" s="175" t="s">
        <v>200</v>
      </c>
      <c r="I68" s="176">
        <f>SUM(I50)</f>
        <v>1568</v>
      </c>
      <c r="J68" s="176">
        <f>SUM(J50)</f>
        <v>253</v>
      </c>
      <c r="K68" s="176">
        <f>SUM(K50)</f>
        <v>-126</v>
      </c>
      <c r="L68" s="176">
        <f>SUM(L50)</f>
        <v>1695</v>
      </c>
    </row>
    <row r="69" spans="1:12" ht="12.75">
      <c r="A69" s="172" t="s">
        <v>201</v>
      </c>
      <c r="B69" s="172" t="s">
        <v>202</v>
      </c>
      <c r="C69" s="167"/>
      <c r="D69" s="167"/>
      <c r="E69" s="167"/>
      <c r="F69" s="167"/>
      <c r="G69" s="174"/>
      <c r="H69" s="179" t="s">
        <v>203</v>
      </c>
      <c r="I69" s="167">
        <f>C66-I68</f>
        <v>0</v>
      </c>
      <c r="J69" s="167">
        <f>D66-J68</f>
        <v>0</v>
      </c>
      <c r="K69" s="167">
        <f>E66-K68</f>
        <v>0</v>
      </c>
      <c r="L69" s="167"/>
    </row>
    <row r="70" spans="1:12" ht="12.75">
      <c r="A70" s="172" t="s">
        <v>204</v>
      </c>
      <c r="B70" s="172" t="s">
        <v>205</v>
      </c>
      <c r="C70" s="167"/>
      <c r="D70" s="167"/>
      <c r="E70" s="167"/>
      <c r="F70" s="167"/>
      <c r="G70" s="174"/>
      <c r="H70" s="172" t="s">
        <v>206</v>
      </c>
      <c r="I70" s="167"/>
      <c r="J70" s="167"/>
      <c r="K70" s="167"/>
      <c r="L70" s="167"/>
    </row>
    <row r="71" spans="1:12" ht="12.75">
      <c r="A71" s="172" t="s">
        <v>207</v>
      </c>
      <c r="B71" s="172" t="s">
        <v>208</v>
      </c>
      <c r="C71" s="167"/>
      <c r="D71" s="167"/>
      <c r="E71" s="167"/>
      <c r="F71" s="167"/>
      <c r="G71" s="172" t="s">
        <v>159</v>
      </c>
      <c r="H71" s="172" t="s">
        <v>209</v>
      </c>
      <c r="I71" s="167"/>
      <c r="J71" s="167"/>
      <c r="K71" s="167"/>
      <c r="L71" s="167"/>
    </row>
    <row r="72" spans="1:12" ht="12.75">
      <c r="A72" s="172" t="s">
        <v>210</v>
      </c>
      <c r="B72" s="172" t="s">
        <v>211</v>
      </c>
      <c r="C72" s="167"/>
      <c r="D72" s="167"/>
      <c r="E72" s="167"/>
      <c r="F72" s="167"/>
      <c r="G72" s="172" t="s">
        <v>163</v>
      </c>
      <c r="H72" s="172" t="s">
        <v>164</v>
      </c>
      <c r="I72" s="167"/>
      <c r="J72" s="167"/>
      <c r="K72" s="167"/>
      <c r="L72" s="167"/>
    </row>
    <row r="73" spans="1:12" ht="12.75">
      <c r="A73" s="172" t="s">
        <v>159</v>
      </c>
      <c r="B73" s="172" t="s">
        <v>212</v>
      </c>
      <c r="C73" s="167"/>
      <c r="D73" s="167"/>
      <c r="E73" s="167"/>
      <c r="F73" s="167"/>
      <c r="G73" s="174" t="s">
        <v>14</v>
      </c>
      <c r="H73" s="166" t="s">
        <v>167</v>
      </c>
      <c r="I73" s="167"/>
      <c r="J73" s="167"/>
      <c r="K73" s="167"/>
      <c r="L73" s="167"/>
    </row>
    <row r="74" spans="1:12" ht="12.75">
      <c r="A74" s="174" t="s">
        <v>14</v>
      </c>
      <c r="B74" s="181" t="s">
        <v>213</v>
      </c>
      <c r="C74" s="167"/>
      <c r="D74" s="167"/>
      <c r="E74" s="167"/>
      <c r="F74" s="167"/>
      <c r="G74" s="174" t="s">
        <v>40</v>
      </c>
      <c r="H74" s="166" t="s">
        <v>214</v>
      </c>
      <c r="I74" s="167"/>
      <c r="J74" s="167"/>
      <c r="K74" s="167"/>
      <c r="L74" s="167"/>
    </row>
    <row r="75" spans="1:12" ht="12.75">
      <c r="A75" s="174" t="s">
        <v>40</v>
      </c>
      <c r="B75" s="181" t="s">
        <v>215</v>
      </c>
      <c r="C75" s="167"/>
      <c r="D75" s="167"/>
      <c r="E75" s="167"/>
      <c r="F75" s="167"/>
      <c r="G75" s="172" t="s">
        <v>216</v>
      </c>
      <c r="H75" s="172" t="s">
        <v>217</v>
      </c>
      <c r="I75" s="167"/>
      <c r="J75" s="167"/>
      <c r="K75" s="167"/>
      <c r="L75" s="167"/>
    </row>
    <row r="76" spans="1:12" ht="12.75">
      <c r="A76" s="174" t="s">
        <v>105</v>
      </c>
      <c r="B76" s="181" t="s">
        <v>218</v>
      </c>
      <c r="C76" s="167"/>
      <c r="D76" s="167"/>
      <c r="E76" s="167"/>
      <c r="F76" s="167"/>
      <c r="G76" s="174" t="s">
        <v>14</v>
      </c>
      <c r="H76" s="181" t="s">
        <v>91</v>
      </c>
      <c r="I76" s="167"/>
      <c r="J76" s="167"/>
      <c r="K76" s="167"/>
      <c r="L76" s="167"/>
    </row>
    <row r="77" spans="1:12" ht="12.75">
      <c r="A77" s="172" t="s">
        <v>219</v>
      </c>
      <c r="B77" s="172" t="s">
        <v>220</v>
      </c>
      <c r="C77" s="167"/>
      <c r="D77" s="167"/>
      <c r="E77" s="167"/>
      <c r="F77" s="167"/>
      <c r="G77" s="174" t="s">
        <v>40</v>
      </c>
      <c r="H77" s="181" t="s">
        <v>90</v>
      </c>
      <c r="I77" s="167"/>
      <c r="J77" s="167"/>
      <c r="K77" s="167"/>
      <c r="L77" s="167"/>
    </row>
    <row r="78" spans="1:12" ht="12.75">
      <c r="A78" s="172" t="s">
        <v>221</v>
      </c>
      <c r="B78" s="172" t="s">
        <v>222</v>
      </c>
      <c r="C78" s="167"/>
      <c r="D78" s="167"/>
      <c r="E78" s="167"/>
      <c r="F78" s="167"/>
      <c r="G78" s="174" t="s">
        <v>105</v>
      </c>
      <c r="H78" s="166" t="s">
        <v>223</v>
      </c>
      <c r="I78" s="167"/>
      <c r="J78" s="167"/>
      <c r="K78" s="167"/>
      <c r="L78" s="167"/>
    </row>
    <row r="79" spans="1:12" ht="12.75">
      <c r="A79" s="172" t="s">
        <v>216</v>
      </c>
      <c r="B79" s="172" t="s">
        <v>224</v>
      </c>
      <c r="C79" s="167"/>
      <c r="D79" s="167"/>
      <c r="E79" s="167"/>
      <c r="F79" s="167"/>
      <c r="G79" s="172" t="s">
        <v>183</v>
      </c>
      <c r="H79" s="172" t="s">
        <v>225</v>
      </c>
      <c r="I79" s="167"/>
      <c r="J79" s="167"/>
      <c r="K79" s="167"/>
      <c r="L79" s="167"/>
    </row>
    <row r="80" spans="1:12" ht="12.75">
      <c r="A80" s="172" t="s">
        <v>183</v>
      </c>
      <c r="B80" s="172" t="s">
        <v>225</v>
      </c>
      <c r="C80" s="167"/>
      <c r="D80" s="167"/>
      <c r="E80" s="167"/>
      <c r="F80" s="167"/>
      <c r="G80" s="172" t="s">
        <v>187</v>
      </c>
      <c r="H80" s="172" t="s">
        <v>188</v>
      </c>
      <c r="I80" s="167"/>
      <c r="J80" s="167"/>
      <c r="K80" s="167"/>
      <c r="L80" s="167"/>
    </row>
    <row r="81" spans="1:12" ht="12.75">
      <c r="A81" s="172" t="s">
        <v>187</v>
      </c>
      <c r="B81" s="172" t="s">
        <v>194</v>
      </c>
      <c r="C81" s="167"/>
      <c r="D81" s="167"/>
      <c r="E81" s="167"/>
      <c r="F81" s="167"/>
      <c r="G81" s="174" t="s">
        <v>14</v>
      </c>
      <c r="H81" s="166" t="s">
        <v>190</v>
      </c>
      <c r="I81" s="167"/>
      <c r="J81" s="167"/>
      <c r="K81" s="167"/>
      <c r="L81" s="167"/>
    </row>
    <row r="82" spans="1:12" ht="12.75">
      <c r="A82" s="174"/>
      <c r="B82" s="175" t="s">
        <v>226</v>
      </c>
      <c r="C82" s="176">
        <f>SUM(C79:C81)</f>
        <v>0</v>
      </c>
      <c r="D82" s="176">
        <f>SUM(D79:D81)</f>
        <v>0</v>
      </c>
      <c r="E82" s="176">
        <f>SUM(E79:E81)</f>
        <v>0</v>
      </c>
      <c r="F82" s="176">
        <f>SUM(F79:F81)</f>
        <v>0</v>
      </c>
      <c r="G82" s="174" t="s">
        <v>238</v>
      </c>
      <c r="H82" s="175" t="s">
        <v>227</v>
      </c>
      <c r="I82" s="176">
        <f>SUM(I79:I81)</f>
        <v>0</v>
      </c>
      <c r="J82" s="176">
        <f>SUM(J79:J81)</f>
        <v>0</v>
      </c>
      <c r="K82" s="176">
        <f>SUM(K79:K81)</f>
        <v>0</v>
      </c>
      <c r="L82" s="176">
        <f>SUM(L79:L81)</f>
        <v>0</v>
      </c>
    </row>
    <row r="83" spans="1:12" ht="12.75">
      <c r="A83" s="174"/>
      <c r="B83" s="179" t="s">
        <v>230</v>
      </c>
      <c r="C83" s="180"/>
      <c r="D83" s="180"/>
      <c r="E83" s="180"/>
      <c r="F83" s="184"/>
      <c r="G83" s="174" t="s">
        <v>239</v>
      </c>
      <c r="H83" s="166" t="s">
        <v>231</v>
      </c>
      <c r="I83" s="167">
        <f>C82-I82</f>
        <v>0</v>
      </c>
      <c r="J83" s="167">
        <f>D82-J82</f>
        <v>0</v>
      </c>
      <c r="K83" s="167">
        <f>E82-K82</f>
        <v>0</v>
      </c>
      <c r="L83" s="167"/>
    </row>
    <row r="84" spans="1:12" ht="12.75">
      <c r="A84" s="174"/>
      <c r="B84" s="182" t="s">
        <v>232</v>
      </c>
      <c r="C84" s="183">
        <f>SUM(C83+C67)</f>
        <v>0</v>
      </c>
      <c r="D84" s="183">
        <f>SUM(D83+D67)</f>
        <v>0</v>
      </c>
      <c r="E84" s="183">
        <f>SUM(E83+E67)</f>
        <v>0</v>
      </c>
      <c r="F84" s="176"/>
      <c r="G84" s="174" t="s">
        <v>240</v>
      </c>
      <c r="H84" s="182" t="s">
        <v>233</v>
      </c>
      <c r="I84" s="167">
        <f>SUM(I69,I83)</f>
        <v>0</v>
      </c>
      <c r="J84" s="167">
        <f>SUM(J69,J83)</f>
        <v>0</v>
      </c>
      <c r="K84" s="167">
        <f>SUM(K69,K83)</f>
        <v>0</v>
      </c>
      <c r="L84" s="167"/>
    </row>
    <row r="85" spans="1:12" ht="12.75">
      <c r="A85" s="174"/>
      <c r="B85" s="175" t="s">
        <v>241</v>
      </c>
      <c r="C85" s="176">
        <f>SUM(C82+C66+C84)</f>
        <v>1568</v>
      </c>
      <c r="D85" s="176">
        <f>SUM(D82+D66+D84)</f>
        <v>253</v>
      </c>
      <c r="E85" s="176">
        <f>SUM(E82+E66+E84)</f>
        <v>-126</v>
      </c>
      <c r="F85" s="176">
        <f>SUM(F82+F66+F84)</f>
        <v>1695</v>
      </c>
      <c r="G85" s="174" t="s">
        <v>242</v>
      </c>
      <c r="H85" s="175" t="s">
        <v>241</v>
      </c>
      <c r="I85" s="176">
        <f>SUM(I68,I82,I84)</f>
        <v>1568</v>
      </c>
      <c r="J85" s="176">
        <f>SUM(J68,J82,J84)</f>
        <v>253</v>
      </c>
      <c r="K85" s="176">
        <f>SUM(K68,K82,K84)</f>
        <v>-126</v>
      </c>
      <c r="L85" s="176">
        <f>SUM(L68,L82,L84)</f>
        <v>1695</v>
      </c>
    </row>
    <row r="86" spans="1:12" ht="12.75" customHeight="1">
      <c r="A86" s="164" t="s">
        <v>243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</row>
    <row r="87" spans="1:12" ht="12.7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</row>
    <row r="88" spans="1:12" ht="12.75">
      <c r="A88" s="165" t="s">
        <v>244</v>
      </c>
      <c r="B88" s="166"/>
      <c r="C88" s="167"/>
      <c r="D88" s="167"/>
      <c r="E88" s="167"/>
      <c r="F88" s="167"/>
      <c r="G88" s="166"/>
      <c r="H88" s="166"/>
      <c r="I88" s="168" t="s">
        <v>143</v>
      </c>
      <c r="J88" s="168"/>
      <c r="K88" s="168"/>
      <c r="L88" s="168"/>
    </row>
    <row r="89" spans="1:12" ht="12.75" customHeight="1">
      <c r="A89" s="169" t="s">
        <v>144</v>
      </c>
      <c r="B89" s="170" t="s">
        <v>145</v>
      </c>
      <c r="C89" s="171" t="s">
        <v>146</v>
      </c>
      <c r="D89" s="171" t="s">
        <v>147</v>
      </c>
      <c r="E89" s="171" t="s">
        <v>148</v>
      </c>
      <c r="F89" s="171" t="s">
        <v>149</v>
      </c>
      <c r="G89" s="169" t="s">
        <v>144</v>
      </c>
      <c r="H89" s="170" t="s">
        <v>150</v>
      </c>
      <c r="I89" s="171" t="s">
        <v>146</v>
      </c>
      <c r="J89" s="171" t="s">
        <v>147</v>
      </c>
      <c r="K89" s="171" t="s">
        <v>148</v>
      </c>
      <c r="L89" s="171" t="s">
        <v>149</v>
      </c>
    </row>
    <row r="90" spans="1:12" ht="12.75" customHeight="1">
      <c r="A90" s="169"/>
      <c r="B90" s="170"/>
      <c r="C90" s="171"/>
      <c r="D90" s="171"/>
      <c r="E90" s="171"/>
      <c r="F90" s="171"/>
      <c r="G90" s="169"/>
      <c r="H90" s="170"/>
      <c r="I90" s="171"/>
      <c r="J90" s="171"/>
      <c r="K90" s="171"/>
      <c r="L90" s="171"/>
    </row>
    <row r="91" spans="1:12" ht="12.75" customHeight="1">
      <c r="A91" s="169"/>
      <c r="B91" s="170"/>
      <c r="C91" s="171"/>
      <c r="D91" s="171"/>
      <c r="E91" s="171"/>
      <c r="F91" s="171"/>
      <c r="G91" s="169"/>
      <c r="H91" s="170"/>
      <c r="I91" s="171"/>
      <c r="J91" s="171"/>
      <c r="K91" s="171"/>
      <c r="L91" s="171"/>
    </row>
    <row r="92" spans="1:12" ht="12.75">
      <c r="A92" s="172" t="s">
        <v>12</v>
      </c>
      <c r="B92" s="172" t="s">
        <v>151</v>
      </c>
      <c r="C92" s="173"/>
      <c r="D92" s="173"/>
      <c r="E92" s="173"/>
      <c r="F92" s="173"/>
      <c r="G92" s="172"/>
      <c r="H92" s="172" t="s">
        <v>152</v>
      </c>
      <c r="I92" s="173">
        <f>SUM(I93:I95,I96,I103,I104)</f>
        <v>1148575</v>
      </c>
      <c r="J92" s="173">
        <f>SUM(J93:J95,J96,J103,J104)</f>
        <v>104579</v>
      </c>
      <c r="K92" s="173">
        <f>SUM(K93:K95,K96,K103,K104)</f>
        <v>-30087</v>
      </c>
      <c r="L92" s="176">
        <f aca="true" t="shared" si="19" ref="L92:L106">SUM(L134+L176+L218+L260+L302+L344+L386)</f>
        <v>1223067</v>
      </c>
    </row>
    <row r="93" spans="1:12" ht="12.75">
      <c r="A93" s="174" t="s">
        <v>14</v>
      </c>
      <c r="B93" s="175" t="s">
        <v>153</v>
      </c>
      <c r="C93" s="176">
        <f>SUM(C135+C177+C219+C261+C303+C345+C387)</f>
        <v>56599</v>
      </c>
      <c r="D93" s="176">
        <f>SUM(D135+D177+D219+D261+D303+D345+D387)</f>
        <v>10758</v>
      </c>
      <c r="E93" s="176">
        <f>SUM(E135+E177+E219+E261+E303+E345+E387)</f>
        <v>-6408</v>
      </c>
      <c r="F93" s="176">
        <f>SUM(F135+F177+F219+F261+F303+F345+F387)</f>
        <v>60949</v>
      </c>
      <c r="G93" s="172" t="s">
        <v>12</v>
      </c>
      <c r="H93" s="172" t="s">
        <v>47</v>
      </c>
      <c r="I93" s="167">
        <f aca="true" t="shared" si="20" ref="I93:K95">SUM(I135+I177+I219+I261+I303+I345+I387)</f>
        <v>487260</v>
      </c>
      <c r="J93" s="167">
        <f t="shared" si="20"/>
        <v>26308</v>
      </c>
      <c r="K93" s="167">
        <f t="shared" si="20"/>
        <v>-18671</v>
      </c>
      <c r="L93" s="167">
        <f t="shared" si="19"/>
        <v>494897</v>
      </c>
    </row>
    <row r="94" spans="1:12" ht="12.75">
      <c r="A94" s="174" t="s">
        <v>40</v>
      </c>
      <c r="B94" s="175" t="s">
        <v>154</v>
      </c>
      <c r="C94" s="176">
        <f>SUM(C95:C97)</f>
        <v>281420</v>
      </c>
      <c r="D94" s="176">
        <f>SUM(D95:D97)</f>
        <v>-3165</v>
      </c>
      <c r="E94" s="176">
        <f>SUM(E95:E97)</f>
        <v>30200</v>
      </c>
      <c r="F94" s="176">
        <f aca="true" t="shared" si="21" ref="F94:F107">SUM(F136+F178+F220+F262+F304+F346+F388)</f>
        <v>292906</v>
      </c>
      <c r="G94" s="172" t="s">
        <v>155</v>
      </c>
      <c r="H94" s="172" t="s">
        <v>156</v>
      </c>
      <c r="I94" s="167">
        <f t="shared" si="20"/>
        <v>151557</v>
      </c>
      <c r="J94" s="167">
        <f t="shared" si="20"/>
        <v>7231</v>
      </c>
      <c r="K94" s="167">
        <f t="shared" si="20"/>
        <v>-10357</v>
      </c>
      <c r="L94" s="167">
        <f t="shared" si="19"/>
        <v>148431</v>
      </c>
    </row>
    <row r="95" spans="1:12" ht="12.75">
      <c r="A95" s="177" t="s">
        <v>157</v>
      </c>
      <c r="B95" s="166" t="s">
        <v>158</v>
      </c>
      <c r="C95" s="167">
        <f aca="true" t="shared" si="22" ref="C95:D97">SUM(C137+C179+C221+C263+C305+C347+C389)</f>
        <v>66800</v>
      </c>
      <c r="D95" s="167">
        <f t="shared" si="22"/>
        <v>0</v>
      </c>
      <c r="E95" s="167">
        <f>SUM(E137+E179+E221+E263+E305+E347+E389)</f>
        <v>15500</v>
      </c>
      <c r="F95" s="176">
        <f t="shared" si="21"/>
        <v>82300</v>
      </c>
      <c r="G95" s="172" t="s">
        <v>159</v>
      </c>
      <c r="H95" s="172" t="s">
        <v>160</v>
      </c>
      <c r="I95" s="167">
        <f t="shared" si="20"/>
        <v>235016</v>
      </c>
      <c r="J95" s="167">
        <f t="shared" si="20"/>
        <v>48267</v>
      </c>
      <c r="K95" s="167">
        <f t="shared" si="20"/>
        <v>-16262</v>
      </c>
      <c r="L95" s="167">
        <f t="shared" si="19"/>
        <v>267021</v>
      </c>
    </row>
    <row r="96" spans="1:12" ht="12.75">
      <c r="A96" s="177" t="s">
        <v>161</v>
      </c>
      <c r="B96" s="166" t="s">
        <v>162</v>
      </c>
      <c r="C96" s="167">
        <f t="shared" si="22"/>
        <v>211620</v>
      </c>
      <c r="D96" s="167">
        <f t="shared" si="22"/>
        <v>-3165</v>
      </c>
      <c r="E96" s="167">
        <f>SUM(E139+E180+E222+E264+E306+E348+E390)</f>
        <v>-800</v>
      </c>
      <c r="F96" s="176">
        <f t="shared" si="21"/>
        <v>208406</v>
      </c>
      <c r="G96" s="172" t="s">
        <v>163</v>
      </c>
      <c r="H96" s="172" t="s">
        <v>164</v>
      </c>
      <c r="I96" s="167">
        <f>SUM(I97:I101)</f>
        <v>206881</v>
      </c>
      <c r="J96" s="167">
        <f>SUM(J97:J101)</f>
        <v>22773</v>
      </c>
      <c r="K96" s="167">
        <f>SUM(K97:K101)</f>
        <v>15433</v>
      </c>
      <c r="L96" s="167">
        <f t="shared" si="19"/>
        <v>245087</v>
      </c>
    </row>
    <row r="97" spans="1:12" ht="12.75">
      <c r="A97" s="177" t="s">
        <v>165</v>
      </c>
      <c r="B97" s="166" t="s">
        <v>166</v>
      </c>
      <c r="C97" s="167">
        <f t="shared" si="22"/>
        <v>3000</v>
      </c>
      <c r="D97" s="167">
        <f t="shared" si="22"/>
        <v>0</v>
      </c>
      <c r="E97" s="167">
        <f>SUM(E137+E181+E223+E265+E307+E349+E391)</f>
        <v>15500</v>
      </c>
      <c r="F97" s="176">
        <f t="shared" si="21"/>
        <v>2200</v>
      </c>
      <c r="G97" s="174" t="s">
        <v>14</v>
      </c>
      <c r="H97" s="166" t="s">
        <v>167</v>
      </c>
      <c r="I97" s="167">
        <f aca="true" t="shared" si="23" ref="I97:K98">SUM(I139+I181+I223+I265+I307+I349+I391)</f>
        <v>20356</v>
      </c>
      <c r="J97" s="167">
        <f t="shared" si="23"/>
        <v>8136</v>
      </c>
      <c r="K97" s="167">
        <f t="shared" si="23"/>
        <v>150</v>
      </c>
      <c r="L97" s="167">
        <f t="shared" si="19"/>
        <v>28642</v>
      </c>
    </row>
    <row r="98" spans="1:12" ht="12.75">
      <c r="A98" s="178" t="s">
        <v>168</v>
      </c>
      <c r="B98" s="172" t="s">
        <v>169</v>
      </c>
      <c r="C98" s="167"/>
      <c r="D98" s="167"/>
      <c r="E98" s="167"/>
      <c r="F98" s="176">
        <f t="shared" si="21"/>
        <v>0</v>
      </c>
      <c r="G98" s="174" t="s">
        <v>40</v>
      </c>
      <c r="H98" s="166" t="s">
        <v>170</v>
      </c>
      <c r="I98" s="167">
        <f t="shared" si="23"/>
        <v>13972</v>
      </c>
      <c r="J98" s="167">
        <f t="shared" si="23"/>
        <v>-559</v>
      </c>
      <c r="K98" s="167">
        <f t="shared" si="23"/>
        <v>0</v>
      </c>
      <c r="L98" s="167">
        <f t="shared" si="19"/>
        <v>13413</v>
      </c>
    </row>
    <row r="99" spans="1:12" ht="12.75">
      <c r="A99" s="174" t="s">
        <v>14</v>
      </c>
      <c r="B99" s="175" t="s">
        <v>171</v>
      </c>
      <c r="C99" s="176">
        <f>SUM(C100:C102)</f>
        <v>607425</v>
      </c>
      <c r="D99" s="176">
        <f>SUM(D100:D102)</f>
        <v>69436</v>
      </c>
      <c r="E99" s="176">
        <f>SUM(E100:E102)</f>
        <v>-10948</v>
      </c>
      <c r="F99" s="176">
        <f t="shared" si="21"/>
        <v>665913</v>
      </c>
      <c r="G99" s="174" t="s">
        <v>105</v>
      </c>
      <c r="H99" s="166" t="s">
        <v>172</v>
      </c>
      <c r="I99" s="167">
        <f aca="true" t="shared" si="24" ref="I99:K101">SUM(I141+I183+I225+I267+I309+I351+I393)</f>
        <v>166245</v>
      </c>
      <c r="J99" s="167">
        <f t="shared" si="24"/>
        <v>15196</v>
      </c>
      <c r="K99" s="167">
        <f t="shared" si="24"/>
        <v>12196</v>
      </c>
      <c r="L99" s="167">
        <f t="shared" si="19"/>
        <v>193637</v>
      </c>
    </row>
    <row r="100" spans="1:12" ht="12.75">
      <c r="A100" s="174" t="s">
        <v>173</v>
      </c>
      <c r="B100" s="166" t="s">
        <v>174</v>
      </c>
      <c r="C100" s="167">
        <f aca="true" t="shared" si="25" ref="C100:D104">SUM(C142+C184+C226+C268+C310+C352+C394)</f>
        <v>415161</v>
      </c>
      <c r="D100" s="167">
        <f t="shared" si="25"/>
        <v>-24393</v>
      </c>
      <c r="E100" s="167">
        <f>SUM(E142+E184+E226+E268+E310+E352+E394)</f>
        <v>77</v>
      </c>
      <c r="F100" s="176">
        <f t="shared" si="21"/>
        <v>390845</v>
      </c>
      <c r="G100" s="174" t="s">
        <v>107</v>
      </c>
      <c r="H100" s="166" t="s">
        <v>175</v>
      </c>
      <c r="I100" s="167">
        <f t="shared" si="24"/>
        <v>252</v>
      </c>
      <c r="J100" s="167">
        <f t="shared" si="24"/>
        <v>0</v>
      </c>
      <c r="K100" s="167">
        <f t="shared" si="24"/>
        <v>3087</v>
      </c>
      <c r="L100" s="167">
        <f t="shared" si="19"/>
        <v>3339</v>
      </c>
    </row>
    <row r="101" spans="1:12" ht="12.75">
      <c r="A101" s="174" t="s">
        <v>176</v>
      </c>
      <c r="B101" s="166" t="s">
        <v>177</v>
      </c>
      <c r="C101" s="167">
        <f t="shared" si="25"/>
        <v>0</v>
      </c>
      <c r="D101" s="167">
        <f t="shared" si="25"/>
        <v>93845</v>
      </c>
      <c r="E101" s="167">
        <f>SUM(E143+E185+E227+E269+E311+E353+E395)</f>
        <v>-486</v>
      </c>
      <c r="F101" s="176">
        <f t="shared" si="21"/>
        <v>93359</v>
      </c>
      <c r="G101" s="174" t="s">
        <v>117</v>
      </c>
      <c r="H101" s="166" t="s">
        <v>178</v>
      </c>
      <c r="I101" s="167">
        <f t="shared" si="24"/>
        <v>6056</v>
      </c>
      <c r="J101" s="167">
        <f t="shared" si="24"/>
        <v>0</v>
      </c>
      <c r="K101" s="167">
        <f t="shared" si="24"/>
        <v>0</v>
      </c>
      <c r="L101" s="167">
        <f t="shared" si="19"/>
        <v>6056</v>
      </c>
    </row>
    <row r="102" spans="1:12" ht="12.75">
      <c r="A102" s="174" t="s">
        <v>179</v>
      </c>
      <c r="B102" s="166" t="s">
        <v>180</v>
      </c>
      <c r="C102" s="167">
        <f t="shared" si="25"/>
        <v>192264</v>
      </c>
      <c r="D102" s="167">
        <f t="shared" si="25"/>
        <v>-16</v>
      </c>
      <c r="E102" s="167">
        <f>SUM(E144+E186+E228+E270+E312+E354+E396)</f>
        <v>-10539</v>
      </c>
      <c r="F102" s="176">
        <f t="shared" si="21"/>
        <v>181709</v>
      </c>
      <c r="G102" s="174"/>
      <c r="H102" s="166"/>
      <c r="I102" s="167"/>
      <c r="J102" s="167"/>
      <c r="K102" s="167"/>
      <c r="L102" s="167">
        <f t="shared" si="19"/>
        <v>0</v>
      </c>
    </row>
    <row r="103" spans="1:12" ht="12.75">
      <c r="A103" s="172" t="s">
        <v>181</v>
      </c>
      <c r="B103" s="172" t="s">
        <v>182</v>
      </c>
      <c r="C103" s="167">
        <f t="shared" si="25"/>
        <v>39725</v>
      </c>
      <c r="D103" s="167">
        <f t="shared" si="25"/>
        <v>24194</v>
      </c>
      <c r="E103" s="167">
        <f>SUM(E145+E187+E229+E271+E313+E355+E397)</f>
        <v>11664</v>
      </c>
      <c r="F103" s="176">
        <f t="shared" si="21"/>
        <v>75583</v>
      </c>
      <c r="G103" s="172" t="s">
        <v>183</v>
      </c>
      <c r="H103" s="172" t="s">
        <v>184</v>
      </c>
      <c r="I103" s="167">
        <f>SUM(I145+I187+I229+I271+I313+I355+I397)</f>
        <v>62861</v>
      </c>
      <c r="J103" s="167">
        <f>SUM(J145+J187+J229+J271+J313+J355+J397)</f>
        <v>0</v>
      </c>
      <c r="K103" s="167">
        <f>SUM(K145+K187+K229+K271+K313+K355+K397)</f>
        <v>4470</v>
      </c>
      <c r="L103" s="167">
        <f t="shared" si="19"/>
        <v>67331</v>
      </c>
    </row>
    <row r="104" spans="1:12" ht="12.75">
      <c r="A104" s="172" t="s">
        <v>185</v>
      </c>
      <c r="B104" s="172" t="s">
        <v>186</v>
      </c>
      <c r="C104" s="167">
        <f t="shared" si="25"/>
        <v>0</v>
      </c>
      <c r="D104" s="167">
        <f t="shared" si="25"/>
        <v>72</v>
      </c>
      <c r="E104" s="167">
        <f>SUM(E146+E188+E230+E272+E314+E356+E398)</f>
        <v>24</v>
      </c>
      <c r="F104" s="176">
        <f t="shared" si="21"/>
        <v>96</v>
      </c>
      <c r="G104" s="172" t="s">
        <v>187</v>
      </c>
      <c r="H104" s="172" t="s">
        <v>188</v>
      </c>
      <c r="I104" s="167">
        <f>SUM(I105:I106)</f>
        <v>5000</v>
      </c>
      <c r="J104" s="167">
        <f>SUM(J105:J106)</f>
        <v>0</v>
      </c>
      <c r="K104" s="167">
        <f>SUM(K105:K106)</f>
        <v>-4700</v>
      </c>
      <c r="L104" s="167">
        <f t="shared" si="19"/>
        <v>300</v>
      </c>
    </row>
    <row r="105" spans="1:12" ht="12.75">
      <c r="A105" s="174"/>
      <c r="B105" s="166" t="s">
        <v>189</v>
      </c>
      <c r="C105" s="167"/>
      <c r="D105" s="167"/>
      <c r="E105" s="167"/>
      <c r="F105" s="176">
        <f t="shared" si="21"/>
        <v>0</v>
      </c>
      <c r="G105" s="174" t="s">
        <v>14</v>
      </c>
      <c r="H105" s="166" t="s">
        <v>190</v>
      </c>
      <c r="I105" s="167">
        <f>SUM(I147+I189+I231+I273+I315+I357+I399)</f>
        <v>0</v>
      </c>
      <c r="J105" s="167">
        <f>SUM(J147+J189+J231+J273+J315+J357+J399)</f>
        <v>0</v>
      </c>
      <c r="K105" s="167">
        <f>SUM(K147+K189+K231+K273+K315+K357+K399)</f>
        <v>300</v>
      </c>
      <c r="L105" s="167">
        <f t="shared" si="19"/>
        <v>300</v>
      </c>
    </row>
    <row r="106" spans="1:12" ht="12.75">
      <c r="A106" s="172" t="s">
        <v>191</v>
      </c>
      <c r="B106" s="172" t="s">
        <v>192</v>
      </c>
      <c r="C106" s="176">
        <f>SUM(C148+C190+C232+C274+C316+C358+C400)</f>
        <v>0</v>
      </c>
      <c r="D106" s="176">
        <f>SUM(D148+D190+D232+D274+D316+D358+D400)</f>
        <v>0</v>
      </c>
      <c r="E106" s="176">
        <f>SUM(E148+E190+E232+E274+E316+E358+E400)</f>
        <v>0</v>
      </c>
      <c r="F106" s="176">
        <f t="shared" si="21"/>
        <v>0</v>
      </c>
      <c r="G106" s="174" t="s">
        <v>40</v>
      </c>
      <c r="H106" s="166" t="s">
        <v>193</v>
      </c>
      <c r="I106" s="167">
        <f>SUM(I148+I190+I232+I274+I316+I358)</f>
        <v>5000</v>
      </c>
      <c r="J106" s="167">
        <f>SUM(J148+J190+J232+J274+J316+J358)</f>
        <v>0</v>
      </c>
      <c r="K106" s="167">
        <f>SUM(K148+K190+K232+K274+K316+K358)</f>
        <v>-5000</v>
      </c>
      <c r="L106" s="167">
        <f t="shared" si="19"/>
        <v>0</v>
      </c>
    </row>
    <row r="107" spans="1:12" ht="12.75">
      <c r="A107" s="172" t="s">
        <v>187</v>
      </c>
      <c r="B107" s="172" t="s">
        <v>194</v>
      </c>
      <c r="C107" s="167"/>
      <c r="D107" s="167"/>
      <c r="E107" s="167"/>
      <c r="F107" s="176">
        <f t="shared" si="21"/>
        <v>28152</v>
      </c>
      <c r="G107" s="174"/>
      <c r="H107" s="166"/>
      <c r="I107" s="167"/>
      <c r="J107" s="167"/>
      <c r="K107" s="167"/>
      <c r="L107" s="167"/>
    </row>
    <row r="108" spans="1:12" ht="12.75">
      <c r="A108" s="174"/>
      <c r="B108" s="175" t="s">
        <v>195</v>
      </c>
      <c r="C108" s="176">
        <f>SUM(C93+C94+C99+C103+C104+C106+C107)</f>
        <v>985169</v>
      </c>
      <c r="D108" s="176">
        <f>SUM(D93+D94+D99+D103+D104+D106+D107)</f>
        <v>101295</v>
      </c>
      <c r="E108" s="176">
        <f>SUM(E93+E94+E99+E103+E104+E106+E107)</f>
        <v>24532</v>
      </c>
      <c r="F108" s="176">
        <f>SUM(F93+F94+F99+F103+F104+F106+F107)</f>
        <v>1123599</v>
      </c>
      <c r="G108" s="174"/>
      <c r="H108" s="175" t="s">
        <v>196</v>
      </c>
      <c r="I108" s="176">
        <f>SUM(I92)</f>
        <v>1148575</v>
      </c>
      <c r="J108" s="176">
        <f>SUM(J92)</f>
        <v>104579</v>
      </c>
      <c r="K108" s="176">
        <f>SUM(K92)</f>
        <v>-30087</v>
      </c>
      <c r="L108" s="176">
        <f>SUM(L92)</f>
        <v>1223067</v>
      </c>
    </row>
    <row r="109" spans="1:12" ht="12.75">
      <c r="A109" s="174"/>
      <c r="B109" s="179" t="s">
        <v>197</v>
      </c>
      <c r="C109" s="167">
        <f>SUM(C151+C193+C235+C277+C319+C361+C403)</f>
        <v>163406</v>
      </c>
      <c r="D109" s="167">
        <f>SUM(D151+D193+D235+D277+D319+D361+D403)</f>
        <v>-24868</v>
      </c>
      <c r="E109" s="167">
        <f>SUM(E151+E193+E235+E277+E319+E361+E403)</f>
        <v>-39070</v>
      </c>
      <c r="F109" s="167">
        <f>SUM(F151+F193+F235+F277+F319+F361+F403)</f>
        <v>99468</v>
      </c>
      <c r="G109" s="174"/>
      <c r="H109" s="166" t="s">
        <v>198</v>
      </c>
      <c r="I109" s="180">
        <f>SUM(I151,I193,I235,I277,I319,I361,I403)</f>
        <v>0</v>
      </c>
      <c r="J109" s="180">
        <f>SUM(J151,J193,J235,J277,J319,J361,J403)</f>
        <v>0</v>
      </c>
      <c r="K109" s="180">
        <f>SUM(K151,K193,K235,K277,K319,K361,K403)</f>
        <v>0</v>
      </c>
      <c r="L109" s="167"/>
    </row>
    <row r="110" spans="1:12" ht="12.75">
      <c r="A110" s="174"/>
      <c r="B110" s="172" t="s">
        <v>199</v>
      </c>
      <c r="C110" s="167">
        <f>SUM(C152+C194+C236+C278+C320+C362+C404)</f>
        <v>0</v>
      </c>
      <c r="D110" s="167"/>
      <c r="E110" s="167"/>
      <c r="F110" s="167"/>
      <c r="G110" s="174"/>
      <c r="H110" s="175" t="s">
        <v>200</v>
      </c>
      <c r="I110" s="176">
        <f>SUM(I93+I94+I95+I96+I103+I104)</f>
        <v>1148575</v>
      </c>
      <c r="J110" s="176">
        <f>SUM(J93+J94+J95+J96+J103+J104)</f>
        <v>104579</v>
      </c>
      <c r="K110" s="176">
        <f>SUM(K93+K94+K95+K96+K103+K104)</f>
        <v>-30087</v>
      </c>
      <c r="L110" s="176">
        <f>SUM(L93+L94+L95+L96+L103+L104)</f>
        <v>1223067</v>
      </c>
    </row>
    <row r="111" spans="1:12" ht="12.75">
      <c r="A111" s="172" t="s">
        <v>201</v>
      </c>
      <c r="B111" s="172" t="s">
        <v>202</v>
      </c>
      <c r="C111" s="167">
        <f aca="true" t="shared" si="26" ref="C111:D114">SUM(C153+C195+C237+C279+C321+C363+C405)</f>
        <v>22451</v>
      </c>
      <c r="D111" s="167">
        <f t="shared" si="26"/>
        <v>-21451</v>
      </c>
      <c r="E111" s="167">
        <f>SUM(E153+E195+E237+E279+E321+E363+E405)</f>
        <v>0</v>
      </c>
      <c r="F111" s="167">
        <f>SUM(C111:E111)</f>
        <v>1000</v>
      </c>
      <c r="G111" s="174"/>
      <c r="H111" s="179" t="s">
        <v>203</v>
      </c>
      <c r="I111" s="167"/>
      <c r="J111" s="167"/>
      <c r="K111" s="167"/>
      <c r="L111" s="167"/>
    </row>
    <row r="112" spans="1:12" ht="12.75">
      <c r="A112" s="172" t="s">
        <v>204</v>
      </c>
      <c r="B112" s="172" t="s">
        <v>205</v>
      </c>
      <c r="C112" s="167">
        <f t="shared" si="26"/>
        <v>10000</v>
      </c>
      <c r="D112" s="167">
        <f t="shared" si="26"/>
        <v>0</v>
      </c>
      <c r="E112" s="167">
        <f>SUM(E154+E196+E238+E280+E322+E364+E406)</f>
        <v>0</v>
      </c>
      <c r="F112" s="167">
        <f aca="true" t="shared" si="27" ref="F112:F125">SUM(C112:E112)</f>
        <v>10000</v>
      </c>
      <c r="G112" s="174"/>
      <c r="H112" s="172" t="s">
        <v>206</v>
      </c>
      <c r="I112" s="167"/>
      <c r="J112" s="167"/>
      <c r="K112" s="167"/>
      <c r="L112" s="167"/>
    </row>
    <row r="113" spans="1:12" ht="12.75">
      <c r="A113" s="172" t="s">
        <v>207</v>
      </c>
      <c r="B113" s="172" t="s">
        <v>208</v>
      </c>
      <c r="C113" s="167">
        <f t="shared" si="26"/>
        <v>14011</v>
      </c>
      <c r="D113" s="167">
        <f t="shared" si="26"/>
        <v>10394</v>
      </c>
      <c r="E113" s="167">
        <f>SUM(E155+E197+E239+E281+E323+E365+E407)</f>
        <v>0</v>
      </c>
      <c r="F113" s="167">
        <f t="shared" si="27"/>
        <v>24405</v>
      </c>
      <c r="G113" s="172" t="s">
        <v>159</v>
      </c>
      <c r="H113" s="172" t="s">
        <v>209</v>
      </c>
      <c r="I113" s="167">
        <f>SUM(I155+I197+I239+I281+I323+I365+I407)</f>
        <v>26935</v>
      </c>
      <c r="J113" s="167">
        <f>SUM(J155+J197+J239+J281+J323+J365+J407)</f>
        <v>0</v>
      </c>
      <c r="K113" s="167">
        <f>SUM(K155+K197+K239+K281+K323+K365+K407)</f>
        <v>0</v>
      </c>
      <c r="L113" s="167">
        <f>SUM(L155+L197+L239+L281+L323+L365+L407)</f>
        <v>26935</v>
      </c>
    </row>
    <row r="114" spans="1:12" ht="12.75">
      <c r="A114" s="172" t="s">
        <v>210</v>
      </c>
      <c r="B114" s="172" t="s">
        <v>211</v>
      </c>
      <c r="C114" s="167">
        <f t="shared" si="26"/>
        <v>6147</v>
      </c>
      <c r="D114" s="167">
        <f t="shared" si="26"/>
        <v>297</v>
      </c>
      <c r="E114" s="167">
        <f>SUM(E156+E198+E240+E282+E324+E366+E408)</f>
        <v>3532</v>
      </c>
      <c r="F114" s="167">
        <f t="shared" si="27"/>
        <v>9976</v>
      </c>
      <c r="G114" s="172" t="s">
        <v>163</v>
      </c>
      <c r="H114" s="172" t="s">
        <v>164</v>
      </c>
      <c r="I114" s="167">
        <f>SUM(I115:I116)</f>
        <v>0</v>
      </c>
      <c r="J114" s="167">
        <f>SUM(J115:J116)</f>
        <v>14</v>
      </c>
      <c r="K114" s="167">
        <f>SUM(K115:K116)</f>
        <v>0</v>
      </c>
      <c r="L114" s="167">
        <f aca="true" t="shared" si="28" ref="L114:L123">SUM(L156+L198+L240+L282+L324+L366+L408)</f>
        <v>14</v>
      </c>
    </row>
    <row r="115" spans="1:12" ht="12.75">
      <c r="A115" s="172" t="s">
        <v>159</v>
      </c>
      <c r="B115" s="172" t="s">
        <v>212</v>
      </c>
      <c r="C115" s="167">
        <f>SUM(C116:C118)</f>
        <v>4000</v>
      </c>
      <c r="D115" s="167">
        <f>SUM(D116:D118)</f>
        <v>5953</v>
      </c>
      <c r="E115" s="167">
        <f>SUM(E116:E118)</f>
        <v>301</v>
      </c>
      <c r="F115" s="167">
        <f t="shared" si="27"/>
        <v>10254</v>
      </c>
      <c r="G115" s="174" t="s">
        <v>14</v>
      </c>
      <c r="H115" s="166" t="s">
        <v>167</v>
      </c>
      <c r="I115" s="167">
        <f aca="true" t="shared" si="29" ref="I115:K116">SUM(I157+I199+I241+I283+I325+I367+I409)</f>
        <v>0</v>
      </c>
      <c r="J115" s="167">
        <f>SUM(J157+J199+J241+J283+J325+J367+J409)</f>
        <v>0</v>
      </c>
      <c r="K115" s="167">
        <f t="shared" si="29"/>
        <v>0</v>
      </c>
      <c r="L115" s="167">
        <f t="shared" si="28"/>
        <v>0</v>
      </c>
    </row>
    <row r="116" spans="1:12" ht="12.75">
      <c r="A116" s="174" t="s">
        <v>14</v>
      </c>
      <c r="B116" s="181" t="s">
        <v>213</v>
      </c>
      <c r="C116" s="167">
        <f aca="true" t="shared" si="30" ref="C116:E123">SUM(C158+C200+C242+C284+C326+C368+C410)</f>
        <v>0</v>
      </c>
      <c r="D116" s="167">
        <f t="shared" si="30"/>
        <v>0</v>
      </c>
      <c r="E116" s="167">
        <f t="shared" si="30"/>
        <v>0</v>
      </c>
      <c r="F116" s="167">
        <f t="shared" si="27"/>
        <v>0</v>
      </c>
      <c r="G116" s="174" t="s">
        <v>40</v>
      </c>
      <c r="H116" s="166" t="s">
        <v>214</v>
      </c>
      <c r="I116" s="167">
        <f t="shared" si="29"/>
        <v>0</v>
      </c>
      <c r="J116" s="167">
        <f>SUM(J158+J200+J242+J284+J326+J368+J410)</f>
        <v>14</v>
      </c>
      <c r="K116" s="167">
        <f t="shared" si="29"/>
        <v>0</v>
      </c>
      <c r="L116" s="167">
        <f t="shared" si="28"/>
        <v>14</v>
      </c>
    </row>
    <row r="117" spans="1:12" ht="12.75">
      <c r="A117" s="174" t="s">
        <v>40</v>
      </c>
      <c r="B117" s="181" t="s">
        <v>215</v>
      </c>
      <c r="C117" s="167">
        <f t="shared" si="30"/>
        <v>4000</v>
      </c>
      <c r="D117" s="167">
        <f t="shared" si="30"/>
        <v>5953</v>
      </c>
      <c r="E117" s="167">
        <f t="shared" si="30"/>
        <v>1</v>
      </c>
      <c r="F117" s="167">
        <f t="shared" si="27"/>
        <v>9954</v>
      </c>
      <c r="G117" s="172" t="s">
        <v>216</v>
      </c>
      <c r="H117" s="172" t="s">
        <v>217</v>
      </c>
      <c r="I117" s="167">
        <f>SUM(I118:I120)</f>
        <v>190047</v>
      </c>
      <c r="J117" s="167">
        <f>SUM(J118:J120)</f>
        <v>982775</v>
      </c>
      <c r="K117" s="167">
        <f>SUM(K118:K120)</f>
        <v>-1011348</v>
      </c>
      <c r="L117" s="167">
        <f t="shared" si="28"/>
        <v>161474</v>
      </c>
    </row>
    <row r="118" spans="1:12" ht="12.75">
      <c r="A118" s="174" t="s">
        <v>105</v>
      </c>
      <c r="B118" s="181" t="s">
        <v>218</v>
      </c>
      <c r="C118" s="167">
        <f t="shared" si="30"/>
        <v>0</v>
      </c>
      <c r="D118" s="167">
        <f t="shared" si="30"/>
        <v>0</v>
      </c>
      <c r="E118" s="167">
        <f t="shared" si="30"/>
        <v>300</v>
      </c>
      <c r="F118" s="167">
        <f t="shared" si="27"/>
        <v>300</v>
      </c>
      <c r="G118" s="174" t="s">
        <v>14</v>
      </c>
      <c r="H118" s="181" t="s">
        <v>91</v>
      </c>
      <c r="I118" s="167">
        <f aca="true" t="shared" si="31" ref="I118:K123">SUM(I160+I202+I244+I286+I328+I370+I412)</f>
        <v>15875</v>
      </c>
      <c r="J118" s="167">
        <f t="shared" si="31"/>
        <v>0</v>
      </c>
      <c r="K118" s="167">
        <f t="shared" si="31"/>
        <v>0</v>
      </c>
      <c r="L118" s="167">
        <f t="shared" si="28"/>
        <v>15875</v>
      </c>
    </row>
    <row r="119" spans="1:12" ht="12.75">
      <c r="A119" s="172" t="s">
        <v>219</v>
      </c>
      <c r="B119" s="172" t="s">
        <v>220</v>
      </c>
      <c r="C119" s="167">
        <f t="shared" si="30"/>
        <v>52835</v>
      </c>
      <c r="D119" s="167">
        <f t="shared" si="30"/>
        <v>982775</v>
      </c>
      <c r="E119" s="167">
        <f t="shared" si="30"/>
        <v>-963952</v>
      </c>
      <c r="F119" s="167">
        <f t="shared" si="27"/>
        <v>71658</v>
      </c>
      <c r="G119" s="174" t="s">
        <v>40</v>
      </c>
      <c r="H119" s="181" t="s">
        <v>90</v>
      </c>
      <c r="I119" s="167">
        <f t="shared" si="31"/>
        <v>174172</v>
      </c>
      <c r="J119" s="167">
        <f t="shared" si="31"/>
        <v>981465</v>
      </c>
      <c r="K119" s="167">
        <f t="shared" si="31"/>
        <v>-1011348</v>
      </c>
      <c r="L119" s="167">
        <f t="shared" si="28"/>
        <v>144289</v>
      </c>
    </row>
    <row r="120" spans="1:12" ht="12.75">
      <c r="A120" s="172" t="s">
        <v>221</v>
      </c>
      <c r="B120" s="172" t="s">
        <v>222</v>
      </c>
      <c r="C120" s="167">
        <f t="shared" si="30"/>
        <v>1073</v>
      </c>
      <c r="D120" s="167">
        <f t="shared" si="30"/>
        <v>0</v>
      </c>
      <c r="E120" s="167">
        <f t="shared" si="30"/>
        <v>0</v>
      </c>
      <c r="F120" s="167">
        <f t="shared" si="27"/>
        <v>1073</v>
      </c>
      <c r="G120" s="174" t="s">
        <v>105</v>
      </c>
      <c r="H120" s="166" t="s">
        <v>223</v>
      </c>
      <c r="I120" s="167">
        <f t="shared" si="31"/>
        <v>0</v>
      </c>
      <c r="J120" s="167">
        <f t="shared" si="31"/>
        <v>1310</v>
      </c>
      <c r="K120" s="167">
        <f t="shared" si="31"/>
        <v>0</v>
      </c>
      <c r="L120" s="167">
        <f t="shared" si="28"/>
        <v>1310</v>
      </c>
    </row>
    <row r="121" spans="1:12" ht="12.75">
      <c r="A121" s="172" t="s">
        <v>216</v>
      </c>
      <c r="B121" s="172" t="s">
        <v>224</v>
      </c>
      <c r="C121" s="167">
        <f t="shared" si="30"/>
        <v>0</v>
      </c>
      <c r="D121" s="167">
        <f t="shared" si="30"/>
        <v>0</v>
      </c>
      <c r="E121" s="167">
        <f t="shared" si="30"/>
        <v>0</v>
      </c>
      <c r="F121" s="167">
        <f t="shared" si="27"/>
        <v>0</v>
      </c>
      <c r="G121" s="172" t="s">
        <v>183</v>
      </c>
      <c r="H121" s="172" t="s">
        <v>225</v>
      </c>
      <c r="I121" s="167">
        <f t="shared" si="31"/>
        <v>6116</v>
      </c>
      <c r="J121" s="167">
        <f t="shared" si="31"/>
        <v>0</v>
      </c>
      <c r="K121" s="167">
        <f>SUM(K163+K205+K247+K289+K331+K373+K415)</f>
        <v>0</v>
      </c>
      <c r="L121" s="167">
        <f t="shared" si="28"/>
        <v>6116</v>
      </c>
    </row>
    <row r="122" spans="1:12" ht="12.75">
      <c r="A122" s="172" t="s">
        <v>183</v>
      </c>
      <c r="B122" s="172" t="s">
        <v>225</v>
      </c>
      <c r="C122" s="167">
        <f t="shared" si="30"/>
        <v>0</v>
      </c>
      <c r="D122" s="167">
        <f t="shared" si="30"/>
        <v>0</v>
      </c>
      <c r="E122" s="167">
        <f t="shared" si="30"/>
        <v>0</v>
      </c>
      <c r="F122" s="167">
        <f t="shared" si="27"/>
        <v>0</v>
      </c>
      <c r="G122" s="172" t="s">
        <v>187</v>
      </c>
      <c r="H122" s="172" t="s">
        <v>188</v>
      </c>
      <c r="I122" s="167">
        <f t="shared" si="31"/>
        <v>0</v>
      </c>
      <c r="J122" s="167">
        <f t="shared" si="31"/>
        <v>153046</v>
      </c>
      <c r="K122" s="167">
        <f t="shared" si="31"/>
        <v>0</v>
      </c>
      <c r="L122" s="167">
        <f t="shared" si="28"/>
        <v>153046</v>
      </c>
    </row>
    <row r="123" spans="1:12" ht="12.75">
      <c r="A123" s="172" t="s">
        <v>187</v>
      </c>
      <c r="B123" s="172" t="s">
        <v>194</v>
      </c>
      <c r="C123" s="167">
        <f t="shared" si="30"/>
        <v>112581</v>
      </c>
      <c r="D123" s="167">
        <f t="shared" si="30"/>
        <v>157867</v>
      </c>
      <c r="E123" s="167">
        <f t="shared" si="30"/>
        <v>-51229</v>
      </c>
      <c r="F123" s="167">
        <f t="shared" si="27"/>
        <v>219219</v>
      </c>
      <c r="G123" s="174" t="s">
        <v>14</v>
      </c>
      <c r="H123" s="166" t="s">
        <v>190</v>
      </c>
      <c r="I123" s="167">
        <f t="shared" si="31"/>
        <v>0</v>
      </c>
      <c r="J123" s="167">
        <f t="shared" si="31"/>
        <v>153046</v>
      </c>
      <c r="K123" s="167">
        <f t="shared" si="31"/>
        <v>0</v>
      </c>
      <c r="L123" s="167">
        <f t="shared" si="28"/>
        <v>153046</v>
      </c>
    </row>
    <row r="124" spans="1:12" ht="12.75">
      <c r="A124" s="174"/>
      <c r="B124" s="175" t="s">
        <v>226</v>
      </c>
      <c r="C124" s="176">
        <f>SUM(C111+C112+C113+C114+C115+C119+C120+C121+C122+C123)</f>
        <v>223098</v>
      </c>
      <c r="D124" s="176">
        <f>SUM(D111+D112+D113+D114+D115+D119+D120+D121+D122+D123)</f>
        <v>1135835</v>
      </c>
      <c r="E124" s="176">
        <f>SUM(E111+E112+E113+E114+E115+E119+E120+E121+E122+E123)</f>
        <v>-1011348</v>
      </c>
      <c r="F124" s="176">
        <f>SUM(F111+F112+F113+F114+F115+F119+F120+F121+F122+F123)</f>
        <v>347585</v>
      </c>
      <c r="G124" s="174" t="s">
        <v>238</v>
      </c>
      <c r="H124" s="175" t="s">
        <v>227</v>
      </c>
      <c r="I124" s="176">
        <f>SUM(I113+I114+I117+I121+I122)</f>
        <v>223098</v>
      </c>
      <c r="J124" s="176">
        <f>SUM(J113+J114+J117+J121+J122)</f>
        <v>1135835</v>
      </c>
      <c r="K124" s="176">
        <f>SUM(K113+K114+K117+K121+K122)</f>
        <v>-1011348</v>
      </c>
      <c r="L124" s="176">
        <f>SUM(L113+L114+L117+L121+L122)</f>
        <v>347585</v>
      </c>
    </row>
    <row r="125" spans="1:12" ht="12.75">
      <c r="A125" s="174"/>
      <c r="B125" s="179" t="s">
        <v>230</v>
      </c>
      <c r="C125" s="180">
        <f>I124-C124</f>
        <v>0</v>
      </c>
      <c r="D125" s="180">
        <f>J124-D124</f>
        <v>0</v>
      </c>
      <c r="E125" s="180">
        <f>K124-E124</f>
        <v>0</v>
      </c>
      <c r="F125" s="167">
        <f t="shared" si="27"/>
        <v>0</v>
      </c>
      <c r="G125" s="174" t="s">
        <v>239</v>
      </c>
      <c r="H125" s="166" t="s">
        <v>231</v>
      </c>
      <c r="I125" s="167">
        <f>SUM(I167+I209+I251+I293+I335+I377+I419)</f>
        <v>0</v>
      </c>
      <c r="J125" s="167">
        <f>SUM(J167+J209+J251+J293+J335+J377+J419)</f>
        <v>0</v>
      </c>
      <c r="K125" s="167">
        <f>SUM(K167+K209+K251+K293+K335+K377+K419)</f>
        <v>0</v>
      </c>
      <c r="L125" s="167">
        <f>SUM(L167+L209+L251+L293+L335+L377+L419)</f>
        <v>0</v>
      </c>
    </row>
    <row r="126" spans="1:12" ht="12.75">
      <c r="A126" s="174"/>
      <c r="B126" s="182" t="s">
        <v>232</v>
      </c>
      <c r="C126" s="183">
        <f>SUM(C125+C109)</f>
        <v>163406</v>
      </c>
      <c r="D126" s="183">
        <f>SUM(D125+D109)</f>
        <v>-24868</v>
      </c>
      <c r="E126" s="183">
        <f>SUM(E125+E109)</f>
        <v>-39070</v>
      </c>
      <c r="F126" s="183">
        <f>SUM(F125+F109)</f>
        <v>99468</v>
      </c>
      <c r="G126" s="174" t="s">
        <v>240</v>
      </c>
      <c r="H126" s="182" t="s">
        <v>233</v>
      </c>
      <c r="I126" s="176">
        <f>SUM(I109,I125)</f>
        <v>0</v>
      </c>
      <c r="J126" s="176">
        <f>SUM(J109,J125)</f>
        <v>0</v>
      </c>
      <c r="K126" s="176">
        <f>SUM(K109,K125)</f>
        <v>0</v>
      </c>
      <c r="L126" s="167">
        <f>SUM(L168+L210+L252+L294+L336+L378+L420)</f>
        <v>0</v>
      </c>
    </row>
    <row r="127" spans="1:12" ht="12.75">
      <c r="A127" s="174"/>
      <c r="B127" s="175" t="s">
        <v>245</v>
      </c>
      <c r="C127" s="176">
        <f>SUM(C124+C108+C126)</f>
        <v>1371673</v>
      </c>
      <c r="D127" s="176">
        <f>SUM(D124+D108+D126)</f>
        <v>1212262</v>
      </c>
      <c r="E127" s="176">
        <f>SUM(E124+E108+E126)</f>
        <v>-1025886</v>
      </c>
      <c r="F127" s="176">
        <f>SUM(F124+F108+F126)</f>
        <v>1570652</v>
      </c>
      <c r="G127" s="174" t="s">
        <v>242</v>
      </c>
      <c r="H127" s="175" t="s">
        <v>246</v>
      </c>
      <c r="I127" s="176">
        <f>SUM(I110,I124,I126)</f>
        <v>1371673</v>
      </c>
      <c r="J127" s="176">
        <f>SUM(J110,J124,J126)</f>
        <v>1240414</v>
      </c>
      <c r="K127" s="176">
        <f>SUM(K110,K124,K126)</f>
        <v>-1041435</v>
      </c>
      <c r="L127" s="176">
        <f>SUM(L110,L124,L126)</f>
        <v>1570652</v>
      </c>
    </row>
    <row r="128" spans="1:12" ht="12.75" customHeight="1">
      <c r="A128" s="164" t="s">
        <v>247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</row>
    <row r="129" spans="1:12" ht="12.7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</row>
    <row r="130" spans="1:12" ht="12.75">
      <c r="A130" s="165" t="s">
        <v>244</v>
      </c>
      <c r="B130" s="166"/>
      <c r="C130" s="167"/>
      <c r="D130" s="167"/>
      <c r="E130" s="167"/>
      <c r="F130" s="167"/>
      <c r="G130" s="166"/>
      <c r="H130" s="166"/>
      <c r="I130" s="168" t="s">
        <v>143</v>
      </c>
      <c r="J130" s="168"/>
      <c r="K130" s="168"/>
      <c r="L130" s="168"/>
    </row>
    <row r="131" spans="1:12" ht="12.75" customHeight="1">
      <c r="A131" s="169" t="s">
        <v>144</v>
      </c>
      <c r="B131" s="170" t="s">
        <v>145</v>
      </c>
      <c r="C131" s="171" t="s">
        <v>146</v>
      </c>
      <c r="D131" s="171" t="s">
        <v>147</v>
      </c>
      <c r="E131" s="171" t="s">
        <v>148</v>
      </c>
      <c r="F131" s="171" t="s">
        <v>149</v>
      </c>
      <c r="G131" s="169" t="s">
        <v>144</v>
      </c>
      <c r="H131" s="170" t="s">
        <v>150</v>
      </c>
      <c r="I131" s="171" t="s">
        <v>146</v>
      </c>
      <c r="J131" s="171" t="s">
        <v>147</v>
      </c>
      <c r="K131" s="171" t="s">
        <v>148</v>
      </c>
      <c r="L131" s="171" t="s">
        <v>149</v>
      </c>
    </row>
    <row r="132" spans="1:12" ht="12.75" customHeight="1">
      <c r="A132" s="169"/>
      <c r="B132" s="170"/>
      <c r="C132" s="171"/>
      <c r="D132" s="171"/>
      <c r="E132" s="171"/>
      <c r="F132" s="171"/>
      <c r="G132" s="169"/>
      <c r="H132" s="170"/>
      <c r="I132" s="171"/>
      <c r="J132" s="171"/>
      <c r="K132" s="171"/>
      <c r="L132" s="171"/>
    </row>
    <row r="133" spans="1:12" ht="12.75" customHeight="1">
      <c r="A133" s="169"/>
      <c r="B133" s="170"/>
      <c r="C133" s="171"/>
      <c r="D133" s="171"/>
      <c r="E133" s="171"/>
      <c r="F133" s="171"/>
      <c r="G133" s="169"/>
      <c r="H133" s="170"/>
      <c r="I133" s="171"/>
      <c r="J133" s="171"/>
      <c r="K133" s="171"/>
      <c r="L133" s="171"/>
    </row>
    <row r="134" spans="1:12" ht="12.75">
      <c r="A134" s="172" t="s">
        <v>12</v>
      </c>
      <c r="B134" s="172" t="s">
        <v>151</v>
      </c>
      <c r="C134" s="173"/>
      <c r="D134" s="173"/>
      <c r="E134" s="173"/>
      <c r="F134" s="173"/>
      <c r="G134" s="172"/>
      <c r="H134" s="172" t="s">
        <v>152</v>
      </c>
      <c r="I134" s="173">
        <f>SUM(I135:I137,I138,I145,I146)</f>
        <v>592081</v>
      </c>
      <c r="J134" s="173">
        <f>SUM(J135:J137,J138,J145,J146)</f>
        <v>46236</v>
      </c>
      <c r="K134" s="173">
        <f>SUM(K135:K137,K138,K145,K146)</f>
        <v>-12157</v>
      </c>
      <c r="L134" s="173">
        <f>SUM(I134:K134)</f>
        <v>626160</v>
      </c>
    </row>
    <row r="135" spans="1:12" ht="12.75">
      <c r="A135" s="174" t="s">
        <v>14</v>
      </c>
      <c r="B135" s="175" t="s">
        <v>153</v>
      </c>
      <c r="C135" s="176">
        <v>15591</v>
      </c>
      <c r="D135" s="176">
        <f>-5073+21451</f>
        <v>16378</v>
      </c>
      <c r="E135" s="176">
        <v>752</v>
      </c>
      <c r="F135" s="176">
        <f>SUM(C135:E135)</f>
        <v>32721</v>
      </c>
      <c r="G135" s="172" t="s">
        <v>12</v>
      </c>
      <c r="H135" s="172" t="s">
        <v>47</v>
      </c>
      <c r="I135" s="167">
        <v>188375</v>
      </c>
      <c r="J135" s="167">
        <f>4033+2493-276+457+255-12038</f>
        <v>-5076</v>
      </c>
      <c r="K135" s="167">
        <f>-19107+2300+765</f>
        <v>-16042</v>
      </c>
      <c r="L135" s="173">
        <f aca="true" t="shared" si="32" ref="L135:L148">SUM(I135:K135)</f>
        <v>167257</v>
      </c>
    </row>
    <row r="136" spans="1:12" ht="12.75">
      <c r="A136" s="174" t="s">
        <v>40</v>
      </c>
      <c r="B136" s="175" t="s">
        <v>154</v>
      </c>
      <c r="C136" s="176">
        <f>SUM(C137:C139)</f>
        <v>281420</v>
      </c>
      <c r="D136" s="176">
        <f>SUM(D137:D139)</f>
        <v>-3165</v>
      </c>
      <c r="E136" s="176">
        <f>SUM(E137:E139)</f>
        <v>14651</v>
      </c>
      <c r="F136" s="176">
        <f aca="true" t="shared" si="33" ref="F136:F149">SUM(C136:E136)</f>
        <v>292906</v>
      </c>
      <c r="G136" s="172" t="s">
        <v>155</v>
      </c>
      <c r="H136" s="172" t="s">
        <v>156</v>
      </c>
      <c r="I136" s="167">
        <v>54261</v>
      </c>
      <c r="J136" s="167">
        <f>1290+798+153+29+3-3875</f>
        <v>-1602</v>
      </c>
      <c r="K136" s="167">
        <f>-1666+621</f>
        <v>-1045</v>
      </c>
      <c r="L136" s="173">
        <f t="shared" si="32"/>
        <v>51614</v>
      </c>
    </row>
    <row r="137" spans="1:12" ht="12.75">
      <c r="A137" s="177" t="s">
        <v>157</v>
      </c>
      <c r="B137" s="166" t="s">
        <v>158</v>
      </c>
      <c r="C137" s="167">
        <v>66800</v>
      </c>
      <c r="D137" s="167"/>
      <c r="E137" s="167">
        <f>15500</f>
        <v>15500</v>
      </c>
      <c r="F137" s="176">
        <f t="shared" si="33"/>
        <v>82300</v>
      </c>
      <c r="G137" s="172" t="s">
        <v>159</v>
      </c>
      <c r="H137" s="172" t="s">
        <v>160</v>
      </c>
      <c r="I137" s="167">
        <v>95779</v>
      </c>
      <c r="J137" s="167">
        <f>5015+107+6+21+83+26592</f>
        <v>31824</v>
      </c>
      <c r="K137" s="167">
        <f>-11119+846</f>
        <v>-10273</v>
      </c>
      <c r="L137" s="173">
        <f t="shared" si="32"/>
        <v>117330</v>
      </c>
    </row>
    <row r="138" spans="1:12" ht="12.75">
      <c r="A138" s="177" t="s">
        <v>161</v>
      </c>
      <c r="B138" s="166" t="s">
        <v>162</v>
      </c>
      <c r="C138" s="167">
        <v>211620</v>
      </c>
      <c r="D138" s="167">
        <f>-3165</f>
        <v>-3165</v>
      </c>
      <c r="E138" s="162">
        <f>191-240</f>
        <v>-49</v>
      </c>
      <c r="F138" s="176">
        <f t="shared" si="33"/>
        <v>208406</v>
      </c>
      <c r="G138" s="172" t="s">
        <v>163</v>
      </c>
      <c r="H138" s="172" t="s">
        <v>164</v>
      </c>
      <c r="I138" s="167">
        <f>SUM(I139:I143)</f>
        <v>185805</v>
      </c>
      <c r="J138" s="167">
        <f>SUM(J139:J143)</f>
        <v>21090</v>
      </c>
      <c r="K138" s="167">
        <f>SUM(K139:K143)</f>
        <v>15433</v>
      </c>
      <c r="L138" s="173">
        <f t="shared" si="32"/>
        <v>222328</v>
      </c>
    </row>
    <row r="139" spans="1:12" ht="12.75">
      <c r="A139" s="177" t="s">
        <v>165</v>
      </c>
      <c r="B139" s="166" t="s">
        <v>166</v>
      </c>
      <c r="C139" s="167">
        <v>3000</v>
      </c>
      <c r="D139" s="167"/>
      <c r="E139" s="167">
        <v>-800</v>
      </c>
      <c r="F139" s="176">
        <f>SUM(C139:E139)</f>
        <v>2200</v>
      </c>
      <c r="G139" s="174" t="s">
        <v>14</v>
      </c>
      <c r="H139" s="166" t="s">
        <v>167</v>
      </c>
      <c r="I139" s="167">
        <f>500+3000+1300+275+513</f>
        <v>5588</v>
      </c>
      <c r="J139" s="167">
        <f>6423+30</f>
        <v>6453</v>
      </c>
      <c r="K139" s="167">
        <f>24+126</f>
        <v>150</v>
      </c>
      <c r="L139" s="173">
        <f t="shared" si="32"/>
        <v>12191</v>
      </c>
    </row>
    <row r="140" spans="1:12" ht="12.75">
      <c r="A140" s="178" t="s">
        <v>168</v>
      </c>
      <c r="B140" s="172" t="s">
        <v>169</v>
      </c>
      <c r="C140" s="167"/>
      <c r="D140" s="167"/>
      <c r="E140" s="167"/>
      <c r="F140" s="176">
        <f t="shared" si="33"/>
        <v>0</v>
      </c>
      <c r="G140" s="174" t="s">
        <v>40</v>
      </c>
      <c r="H140" s="166" t="s">
        <v>170</v>
      </c>
      <c r="I140" s="167">
        <v>13972</v>
      </c>
      <c r="J140" s="167">
        <f>-30+276+2200-3005</f>
        <v>-559</v>
      </c>
      <c r="K140" s="167"/>
      <c r="L140" s="173">
        <f t="shared" si="32"/>
        <v>13413</v>
      </c>
    </row>
    <row r="141" spans="1:12" ht="12.75">
      <c r="A141" s="174" t="s">
        <v>14</v>
      </c>
      <c r="B141" s="175" t="s">
        <v>171</v>
      </c>
      <c r="C141" s="176">
        <f>SUM(C142:C144)</f>
        <v>284826</v>
      </c>
      <c r="D141" s="176">
        <f>SUM(D142:D144)</f>
        <v>36419</v>
      </c>
      <c r="E141" s="176">
        <f>SUM(E142:E144)</f>
        <v>-8762</v>
      </c>
      <c r="F141" s="176">
        <f t="shared" si="33"/>
        <v>312483</v>
      </c>
      <c r="G141" s="174" t="s">
        <v>105</v>
      </c>
      <c r="H141" s="166" t="s">
        <v>172</v>
      </c>
      <c r="I141" s="167">
        <f>16355+149890</f>
        <v>166245</v>
      </c>
      <c r="J141" s="167">
        <f>280+1351+2604+834+10127</f>
        <v>15196</v>
      </c>
      <c r="K141" s="167">
        <f>15378+5949+365+407-2044-1245-1409-2118-3087</f>
        <v>12196</v>
      </c>
      <c r="L141" s="173">
        <f t="shared" si="32"/>
        <v>193637</v>
      </c>
    </row>
    <row r="142" spans="1:12" ht="12.75">
      <c r="A142" s="174" t="s">
        <v>173</v>
      </c>
      <c r="B142" s="166" t="s">
        <v>174</v>
      </c>
      <c r="C142" s="167">
        <v>94104</v>
      </c>
      <c r="D142" s="167">
        <v>-10394</v>
      </c>
      <c r="E142" s="167"/>
      <c r="F142" s="176">
        <f t="shared" si="33"/>
        <v>83710</v>
      </c>
      <c r="G142" s="174" t="s">
        <v>107</v>
      </c>
      <c r="H142" s="166" t="s">
        <v>175</v>
      </c>
      <c r="I142" s="167">
        <v>0</v>
      </c>
      <c r="J142" s="167"/>
      <c r="K142" s="167">
        <v>3087</v>
      </c>
      <c r="L142" s="173">
        <f t="shared" si="32"/>
        <v>3087</v>
      </c>
    </row>
    <row r="143" spans="1:12" ht="12.75">
      <c r="A143" s="174" t="s">
        <v>176</v>
      </c>
      <c r="B143" s="166" t="s">
        <v>248</v>
      </c>
      <c r="C143" s="167">
        <v>0</v>
      </c>
      <c r="D143" s="167">
        <f>26822+19991</f>
        <v>46813</v>
      </c>
      <c r="E143" s="167">
        <f>2921+126-1278</f>
        <v>1769</v>
      </c>
      <c r="F143" s="176">
        <f t="shared" si="33"/>
        <v>48582</v>
      </c>
      <c r="G143" s="174" t="s">
        <v>117</v>
      </c>
      <c r="H143" s="166" t="s">
        <v>178</v>
      </c>
      <c r="I143" s="167">
        <v>0</v>
      </c>
      <c r="J143" s="167"/>
      <c r="K143" s="167"/>
      <c r="L143" s="173">
        <f t="shared" si="32"/>
        <v>0</v>
      </c>
    </row>
    <row r="144" spans="1:12" ht="12.75">
      <c r="A144" s="174" t="s">
        <v>179</v>
      </c>
      <c r="B144" s="166" t="s">
        <v>180</v>
      </c>
      <c r="C144" s="167">
        <v>190722</v>
      </c>
      <c r="D144" s="167"/>
      <c r="E144" s="167">
        <f>-25909+15378</f>
        <v>-10531</v>
      </c>
      <c r="F144" s="176">
        <f t="shared" si="33"/>
        <v>180191</v>
      </c>
      <c r="G144" s="174"/>
      <c r="H144" s="166"/>
      <c r="I144" s="167"/>
      <c r="J144" s="167"/>
      <c r="K144" s="167"/>
      <c r="L144" s="173">
        <f t="shared" si="32"/>
        <v>0</v>
      </c>
    </row>
    <row r="145" spans="1:12" ht="12.75">
      <c r="A145" s="172" t="s">
        <v>181</v>
      </c>
      <c r="B145" s="172" t="s">
        <v>182</v>
      </c>
      <c r="C145" s="167">
        <v>320</v>
      </c>
      <c r="D145" s="167">
        <f>7715+9856</f>
        <v>17571</v>
      </c>
      <c r="E145" s="167">
        <v>10846</v>
      </c>
      <c r="F145" s="176">
        <f t="shared" si="33"/>
        <v>28737</v>
      </c>
      <c r="G145" s="172" t="s">
        <v>183</v>
      </c>
      <c r="H145" s="172" t="s">
        <v>184</v>
      </c>
      <c r="I145" s="167">
        <v>62861</v>
      </c>
      <c r="J145" s="167"/>
      <c r="K145" s="167">
        <v>4470</v>
      </c>
      <c r="L145" s="173">
        <f t="shared" si="32"/>
        <v>67331</v>
      </c>
    </row>
    <row r="146" spans="1:12" ht="12.75">
      <c r="A146" s="172" t="s">
        <v>185</v>
      </c>
      <c r="B146" s="172" t="s">
        <v>186</v>
      </c>
      <c r="C146" s="167"/>
      <c r="D146" s="167"/>
      <c r="E146" s="167">
        <v>24</v>
      </c>
      <c r="F146" s="176">
        <f t="shared" si="33"/>
        <v>24</v>
      </c>
      <c r="G146" s="172" t="s">
        <v>187</v>
      </c>
      <c r="H146" s="172" t="s">
        <v>188</v>
      </c>
      <c r="I146" s="167">
        <f>SUM(I147:I148)</f>
        <v>5000</v>
      </c>
      <c r="J146" s="167">
        <f>SUM(J147:J148)</f>
        <v>0</v>
      </c>
      <c r="K146" s="167">
        <f>SUM(K147:K148)</f>
        <v>-4700</v>
      </c>
      <c r="L146" s="173">
        <f t="shared" si="32"/>
        <v>300</v>
      </c>
    </row>
    <row r="147" spans="1:12" ht="12.75">
      <c r="A147" s="174"/>
      <c r="B147" s="166" t="s">
        <v>189</v>
      </c>
      <c r="C147" s="167"/>
      <c r="D147" s="167"/>
      <c r="E147" s="167"/>
      <c r="F147" s="176">
        <f t="shared" si="33"/>
        <v>0</v>
      </c>
      <c r="G147" s="174" t="s">
        <v>14</v>
      </c>
      <c r="H147" s="166" t="s">
        <v>190</v>
      </c>
      <c r="I147" s="167"/>
      <c r="J147" s="167"/>
      <c r="K147" s="167">
        <v>300</v>
      </c>
      <c r="L147" s="173">
        <f t="shared" si="32"/>
        <v>300</v>
      </c>
    </row>
    <row r="148" spans="1:12" ht="12.75">
      <c r="A148" s="172" t="s">
        <v>191</v>
      </c>
      <c r="B148" s="172" t="s">
        <v>192</v>
      </c>
      <c r="C148" s="176">
        <v>0</v>
      </c>
      <c r="D148" s="176"/>
      <c r="E148" s="176"/>
      <c r="F148" s="176">
        <f t="shared" si="33"/>
        <v>0</v>
      </c>
      <c r="G148" s="174" t="s">
        <v>40</v>
      </c>
      <c r="H148" s="166" t="s">
        <v>193</v>
      </c>
      <c r="I148" s="167">
        <v>5000</v>
      </c>
      <c r="J148" s="167"/>
      <c r="K148" s="167">
        <v>-5000</v>
      </c>
      <c r="L148" s="173">
        <f t="shared" si="32"/>
        <v>0</v>
      </c>
    </row>
    <row r="149" spans="1:12" ht="12.75">
      <c r="A149" s="172" t="s">
        <v>187</v>
      </c>
      <c r="B149" s="172" t="s">
        <v>194</v>
      </c>
      <c r="C149" s="167"/>
      <c r="D149" s="167">
        <v>28152</v>
      </c>
      <c r="E149" s="167"/>
      <c r="F149" s="176">
        <f t="shared" si="33"/>
        <v>28152</v>
      </c>
      <c r="G149" s="174"/>
      <c r="H149" s="166"/>
      <c r="I149" s="167"/>
      <c r="J149" s="167"/>
      <c r="K149" s="167"/>
      <c r="L149" s="167"/>
    </row>
    <row r="150" spans="1:12" ht="12.75">
      <c r="A150" s="174"/>
      <c r="B150" s="175" t="s">
        <v>195</v>
      </c>
      <c r="C150" s="176">
        <f>SUM(C135+C136+C141+C145+C146+C148+C149)</f>
        <v>582157</v>
      </c>
      <c r="D150" s="176">
        <f>SUM(D135+D136+D141+D145+D146+D148+D149)</f>
        <v>95355</v>
      </c>
      <c r="E150" s="176">
        <f>SUM(E135+E136+E141+E145+E146+E148+E149)</f>
        <v>17511</v>
      </c>
      <c r="F150" s="176">
        <f>SUM(F135+F136+F141+F145+F146+F148+F149)</f>
        <v>695023</v>
      </c>
      <c r="G150" s="174"/>
      <c r="H150" s="175" t="s">
        <v>196</v>
      </c>
      <c r="I150" s="176">
        <f>SUM(I134)</f>
        <v>592081</v>
      </c>
      <c r="J150" s="176">
        <f>SUM(J134)</f>
        <v>46236</v>
      </c>
      <c r="K150" s="176">
        <f>SUM(K134)</f>
        <v>-12157</v>
      </c>
      <c r="L150" s="176">
        <f>SUM(I150:K150)</f>
        <v>626160</v>
      </c>
    </row>
    <row r="151" spans="1:12" ht="12.75">
      <c r="A151" s="174"/>
      <c r="B151" s="179" t="s">
        <v>197</v>
      </c>
      <c r="C151" s="180">
        <f>I152-C150</f>
        <v>9924</v>
      </c>
      <c r="D151" s="180">
        <f>J152-D150</f>
        <v>-49119</v>
      </c>
      <c r="E151" s="180">
        <f>K152-E150</f>
        <v>-29668</v>
      </c>
      <c r="F151" s="180">
        <f>L152-F150</f>
        <v>-68863</v>
      </c>
      <c r="G151" s="174"/>
      <c r="H151" s="166" t="s">
        <v>198</v>
      </c>
      <c r="I151" s="180"/>
      <c r="J151" s="180"/>
      <c r="K151" s="180"/>
      <c r="L151" s="167"/>
    </row>
    <row r="152" spans="1:12" ht="12.75">
      <c r="A152" s="174"/>
      <c r="B152" s="172" t="s">
        <v>199</v>
      </c>
      <c r="C152" s="167"/>
      <c r="D152" s="167"/>
      <c r="E152" s="167"/>
      <c r="F152" s="167"/>
      <c r="G152" s="174"/>
      <c r="H152" s="175" t="s">
        <v>200</v>
      </c>
      <c r="I152" s="176">
        <f>SUM(I135+I136+I137+I138+I145+I146)</f>
        <v>592081</v>
      </c>
      <c r="J152" s="176">
        <f>SUM(J135+J136+J137+J138+J145+J146)</f>
        <v>46236</v>
      </c>
      <c r="K152" s="176">
        <f>SUM(K135+K136+K137+K138+K145+K146)</f>
        <v>-12157</v>
      </c>
      <c r="L152" s="176">
        <f>SUM(L135+L136+L137+L138+L145+L146)</f>
        <v>626160</v>
      </c>
    </row>
    <row r="153" spans="1:12" ht="12.75">
      <c r="A153" s="172" t="s">
        <v>201</v>
      </c>
      <c r="B153" s="172" t="s">
        <v>202</v>
      </c>
      <c r="C153" s="167">
        <v>22451</v>
      </c>
      <c r="D153" s="167">
        <v>-21451</v>
      </c>
      <c r="E153" s="167"/>
      <c r="F153" s="167">
        <f>SUM(C153:E153)</f>
        <v>1000</v>
      </c>
      <c r="G153" s="174"/>
      <c r="H153" s="179" t="s">
        <v>203</v>
      </c>
      <c r="I153" s="167"/>
      <c r="J153" s="167"/>
      <c r="K153" s="167"/>
      <c r="L153" s="167"/>
    </row>
    <row r="154" spans="1:12" ht="12.75">
      <c r="A154" s="172" t="s">
        <v>204</v>
      </c>
      <c r="B154" s="172" t="s">
        <v>249</v>
      </c>
      <c r="C154" s="167">
        <v>10000</v>
      </c>
      <c r="D154" s="167"/>
      <c r="E154" s="167"/>
      <c r="F154" s="167">
        <f aca="true" t="shared" si="34" ref="F154:F165">SUM(C154:E154)</f>
        <v>10000</v>
      </c>
      <c r="G154" s="174"/>
      <c r="H154" s="172" t="s">
        <v>206</v>
      </c>
      <c r="I154" s="167"/>
      <c r="J154" s="167"/>
      <c r="K154" s="167"/>
      <c r="L154" s="167"/>
    </row>
    <row r="155" spans="1:12" ht="12.75">
      <c r="A155" s="172" t="s">
        <v>207</v>
      </c>
      <c r="B155" s="172" t="s">
        <v>208</v>
      </c>
      <c r="C155" s="167">
        <v>14011</v>
      </c>
      <c r="D155" s="167">
        <v>10394</v>
      </c>
      <c r="E155" s="167"/>
      <c r="F155" s="167">
        <f t="shared" si="34"/>
        <v>24405</v>
      </c>
      <c r="G155" s="172" t="s">
        <v>159</v>
      </c>
      <c r="H155" s="172" t="s">
        <v>209</v>
      </c>
      <c r="I155" s="167">
        <v>26935</v>
      </c>
      <c r="J155" s="167"/>
      <c r="K155" s="167"/>
      <c r="L155" s="167">
        <f>SUM(I155:K155)</f>
        <v>26935</v>
      </c>
    </row>
    <row r="156" spans="1:12" ht="12.75">
      <c r="A156" s="172" t="s">
        <v>210</v>
      </c>
      <c r="B156" s="172" t="s">
        <v>250</v>
      </c>
      <c r="C156" s="167">
        <v>6147</v>
      </c>
      <c r="D156" s="167">
        <v>297</v>
      </c>
      <c r="E156" s="167">
        <v>-1</v>
      </c>
      <c r="F156" s="167">
        <f t="shared" si="34"/>
        <v>6443</v>
      </c>
      <c r="G156" s="172" t="s">
        <v>163</v>
      </c>
      <c r="H156" s="172" t="s">
        <v>164</v>
      </c>
      <c r="I156" s="167">
        <f>SUM(I157:I158)</f>
        <v>0</v>
      </c>
      <c r="J156" s="167">
        <f>SUM(J157:J158)</f>
        <v>14</v>
      </c>
      <c r="K156" s="167">
        <f>SUM(K157:K158)</f>
        <v>0</v>
      </c>
      <c r="L156" s="167">
        <f aca="true" t="shared" si="35" ref="L156:L165">SUM(I156:K156)</f>
        <v>14</v>
      </c>
    </row>
    <row r="157" spans="1:12" ht="12.75">
      <c r="A157" s="172" t="s">
        <v>159</v>
      </c>
      <c r="B157" s="172" t="s">
        <v>212</v>
      </c>
      <c r="C157" s="167">
        <f>SUM(C158:C160)</f>
        <v>4000</v>
      </c>
      <c r="D157" s="167">
        <f>SUM(D158:D160)</f>
        <v>5073</v>
      </c>
      <c r="E157" s="167">
        <f>SUM(E158:E160)</f>
        <v>301</v>
      </c>
      <c r="F157" s="167">
        <f t="shared" si="34"/>
        <v>9374</v>
      </c>
      <c r="G157" s="174" t="s">
        <v>14</v>
      </c>
      <c r="H157" s="166" t="s">
        <v>167</v>
      </c>
      <c r="I157" s="167"/>
      <c r="J157" s="167"/>
      <c r="K157" s="167"/>
      <c r="L157" s="167">
        <f t="shared" si="35"/>
        <v>0</v>
      </c>
    </row>
    <row r="158" spans="1:12" ht="12.75">
      <c r="A158" s="174" t="s">
        <v>14</v>
      </c>
      <c r="B158" s="181" t="s">
        <v>213</v>
      </c>
      <c r="C158" s="167"/>
      <c r="D158" s="167"/>
      <c r="E158" s="167"/>
      <c r="F158" s="167">
        <f t="shared" si="34"/>
        <v>0</v>
      </c>
      <c r="G158" s="174" t="s">
        <v>40</v>
      </c>
      <c r="H158" s="166" t="s">
        <v>214</v>
      </c>
      <c r="I158" s="167"/>
      <c r="J158" s="167">
        <v>14</v>
      </c>
      <c r="K158" s="167"/>
      <c r="L158" s="167">
        <f t="shared" si="35"/>
        <v>14</v>
      </c>
    </row>
    <row r="159" spans="1:12" ht="12.75">
      <c r="A159" s="174" t="s">
        <v>40</v>
      </c>
      <c r="B159" s="181" t="s">
        <v>215</v>
      </c>
      <c r="C159" s="167">
        <v>4000</v>
      </c>
      <c r="D159" s="167">
        <v>5073</v>
      </c>
      <c r="E159" s="167">
        <v>1</v>
      </c>
      <c r="F159" s="167">
        <f t="shared" si="34"/>
        <v>9074</v>
      </c>
      <c r="G159" s="172" t="s">
        <v>216</v>
      </c>
      <c r="H159" s="172" t="s">
        <v>217</v>
      </c>
      <c r="I159" s="167">
        <f>SUM(I160:I162)</f>
        <v>190047</v>
      </c>
      <c r="J159" s="167">
        <f>SUM(J160:J162)</f>
        <v>982775</v>
      </c>
      <c r="K159" s="167">
        <f>SUM(K160:K162)</f>
        <v>-1014881</v>
      </c>
      <c r="L159" s="167">
        <f t="shared" si="35"/>
        <v>157941</v>
      </c>
    </row>
    <row r="160" spans="1:12" ht="12.75">
      <c r="A160" s="174" t="s">
        <v>105</v>
      </c>
      <c r="B160" s="181" t="s">
        <v>218</v>
      </c>
      <c r="C160" s="167"/>
      <c r="D160" s="167"/>
      <c r="E160" s="167">
        <v>300</v>
      </c>
      <c r="F160" s="167">
        <f t="shared" si="34"/>
        <v>300</v>
      </c>
      <c r="G160" s="174" t="s">
        <v>14</v>
      </c>
      <c r="H160" s="181" t="s">
        <v>91</v>
      </c>
      <c r="I160" s="167">
        <v>15875</v>
      </c>
      <c r="J160" s="167"/>
      <c r="K160" s="167"/>
      <c r="L160" s="167">
        <f t="shared" si="35"/>
        <v>15875</v>
      </c>
    </row>
    <row r="161" spans="1:12" ht="12.75">
      <c r="A161" s="172" t="s">
        <v>219</v>
      </c>
      <c r="B161" s="172" t="s">
        <v>220</v>
      </c>
      <c r="C161" s="167">
        <v>52835</v>
      </c>
      <c r="D161" s="167">
        <v>982775</v>
      </c>
      <c r="E161" s="167">
        <v>-963952</v>
      </c>
      <c r="F161" s="167">
        <f t="shared" si="34"/>
        <v>71658</v>
      </c>
      <c r="G161" s="174" t="s">
        <v>40</v>
      </c>
      <c r="H161" s="181" t="s">
        <v>90</v>
      </c>
      <c r="I161" s="167">
        <v>174172</v>
      </c>
      <c r="J161" s="167">
        <f>982775-1310</f>
        <v>981465</v>
      </c>
      <c r="K161" s="167">
        <f>160-168776-846373-69+177</f>
        <v>-1014881</v>
      </c>
      <c r="L161" s="167">
        <f t="shared" si="35"/>
        <v>140756</v>
      </c>
    </row>
    <row r="162" spans="1:12" ht="12.75">
      <c r="A162" s="172" t="s">
        <v>221</v>
      </c>
      <c r="B162" s="172" t="s">
        <v>222</v>
      </c>
      <c r="C162" s="167">
        <v>1073</v>
      </c>
      <c r="D162" s="167"/>
      <c r="E162" s="167"/>
      <c r="F162" s="167">
        <f t="shared" si="34"/>
        <v>1073</v>
      </c>
      <c r="G162" s="174" t="s">
        <v>105</v>
      </c>
      <c r="H162" s="166" t="s">
        <v>223</v>
      </c>
      <c r="I162" s="167"/>
      <c r="J162" s="167">
        <v>1310</v>
      </c>
      <c r="K162" s="167"/>
      <c r="L162" s="167">
        <f t="shared" si="35"/>
        <v>1310</v>
      </c>
    </row>
    <row r="163" spans="1:12" ht="12.75">
      <c r="A163" s="172" t="s">
        <v>216</v>
      </c>
      <c r="B163" s="172" t="s">
        <v>224</v>
      </c>
      <c r="C163" s="167">
        <v>0</v>
      </c>
      <c r="D163" s="167"/>
      <c r="E163" s="167"/>
      <c r="F163" s="167">
        <f t="shared" si="34"/>
        <v>0</v>
      </c>
      <c r="G163" s="172" t="s">
        <v>183</v>
      </c>
      <c r="H163" s="172" t="s">
        <v>225</v>
      </c>
      <c r="I163" s="167">
        <v>6116</v>
      </c>
      <c r="J163" s="167"/>
      <c r="K163" s="167"/>
      <c r="L163" s="167">
        <f t="shared" si="35"/>
        <v>6116</v>
      </c>
    </row>
    <row r="164" spans="1:12" ht="12.75">
      <c r="A164" s="172" t="s">
        <v>183</v>
      </c>
      <c r="B164" s="172" t="s">
        <v>225</v>
      </c>
      <c r="C164" s="167">
        <v>0</v>
      </c>
      <c r="D164" s="167"/>
      <c r="E164" s="167"/>
      <c r="F164" s="167">
        <f t="shared" si="34"/>
        <v>0</v>
      </c>
      <c r="G164" s="172" t="s">
        <v>187</v>
      </c>
      <c r="H164" s="172" t="s">
        <v>188</v>
      </c>
      <c r="I164" s="176">
        <f>SUM(I165)</f>
        <v>0</v>
      </c>
      <c r="J164" s="176">
        <f>SUM(J165)</f>
        <v>152166</v>
      </c>
      <c r="K164" s="176">
        <f>SUM(K165)</f>
        <v>0</v>
      </c>
      <c r="L164" s="176">
        <f t="shared" si="35"/>
        <v>152166</v>
      </c>
    </row>
    <row r="165" spans="1:12" ht="12.75">
      <c r="A165" s="172" t="s">
        <v>187</v>
      </c>
      <c r="B165" s="172" t="s">
        <v>194</v>
      </c>
      <c r="C165" s="167">
        <v>112581</v>
      </c>
      <c r="D165" s="167">
        <v>157867</v>
      </c>
      <c r="E165" s="167">
        <v>-51229</v>
      </c>
      <c r="F165" s="167">
        <f t="shared" si="34"/>
        <v>219219</v>
      </c>
      <c r="G165" s="174" t="s">
        <v>14</v>
      </c>
      <c r="H165" s="166" t="s">
        <v>190</v>
      </c>
      <c r="I165" s="167"/>
      <c r="J165" s="167">
        <f>5073+10394+283+136416</f>
        <v>152166</v>
      </c>
      <c r="K165" s="167"/>
      <c r="L165" s="167">
        <f t="shared" si="35"/>
        <v>152166</v>
      </c>
    </row>
    <row r="166" spans="1:12" ht="12.75">
      <c r="A166" s="174"/>
      <c r="B166" s="175" t="s">
        <v>73</v>
      </c>
      <c r="C166" s="176">
        <f>SUM(C153+C154+C155+C156+C157+C161+C162+C163+C164+C165)</f>
        <v>223098</v>
      </c>
      <c r="D166" s="176">
        <f>SUM(D153+D154+D155+D156+D157+D161+D162+D163+D164+D165)</f>
        <v>1134955</v>
      </c>
      <c r="E166" s="176">
        <f>SUM(E153+E154+E155+E156+E157+E161+E162+E163+E164+E165)</f>
        <v>-1014881</v>
      </c>
      <c r="F166" s="176">
        <f>SUM(F153+F154+F155+F156+F157+F161+F162+F163+F164+F165)</f>
        <v>343172</v>
      </c>
      <c r="G166" s="174" t="s">
        <v>238</v>
      </c>
      <c r="H166" s="175" t="s">
        <v>73</v>
      </c>
      <c r="I166" s="176">
        <f>SUM(I155+I156+I159+I163+I164)</f>
        <v>223098</v>
      </c>
      <c r="J166" s="176">
        <f>SUM(J155+J156+J159+J163+J164)</f>
        <v>1134955</v>
      </c>
      <c r="K166" s="176">
        <f>SUM(K155+K156+K159+K163+K164)</f>
        <v>-1014881</v>
      </c>
      <c r="L166" s="176">
        <f>SUM(L155+L156+L159+L163+L164)</f>
        <v>343172</v>
      </c>
    </row>
    <row r="167" spans="1:12" ht="12.75">
      <c r="A167" s="174"/>
      <c r="B167" s="179" t="s">
        <v>230</v>
      </c>
      <c r="C167" s="180">
        <f>I166-C166</f>
        <v>0</v>
      </c>
      <c r="D167" s="180"/>
      <c r="E167" s="180"/>
      <c r="F167" s="180"/>
      <c r="G167" s="174" t="s">
        <v>239</v>
      </c>
      <c r="H167" s="166" t="s">
        <v>231</v>
      </c>
      <c r="I167" s="167">
        <f>C166-I166</f>
        <v>0</v>
      </c>
      <c r="J167" s="167">
        <f>D166-J166</f>
        <v>0</v>
      </c>
      <c r="K167" s="167">
        <f>E166-K166</f>
        <v>0</v>
      </c>
      <c r="L167" s="167">
        <f>F166-L166</f>
        <v>0</v>
      </c>
    </row>
    <row r="168" spans="1:12" ht="12.75">
      <c r="A168" s="174"/>
      <c r="B168" s="182" t="s">
        <v>232</v>
      </c>
      <c r="C168" s="183">
        <f>SUM(C167+C151)</f>
        <v>9924</v>
      </c>
      <c r="D168" s="183">
        <f>SUM(D167+D151)</f>
        <v>-49119</v>
      </c>
      <c r="E168" s="183">
        <f>SUM(E167+E151)</f>
        <v>-29668</v>
      </c>
      <c r="F168" s="183">
        <f>SUM(F167+F151)</f>
        <v>-68863</v>
      </c>
      <c r="G168" s="174" t="s">
        <v>240</v>
      </c>
      <c r="H168" s="182" t="s">
        <v>233</v>
      </c>
      <c r="I168" s="176">
        <f>SUM(I153,I167)</f>
        <v>0</v>
      </c>
      <c r="J168" s="176">
        <f>SUM(J153,J167)</f>
        <v>0</v>
      </c>
      <c r="K168" s="176">
        <f>SUM(K153,K167)</f>
        <v>0</v>
      </c>
      <c r="L168" s="176">
        <f>SUM(L153,L167)</f>
        <v>0</v>
      </c>
    </row>
    <row r="169" spans="1:12" ht="12.75">
      <c r="A169" s="174"/>
      <c r="B169" s="175" t="s">
        <v>245</v>
      </c>
      <c r="C169" s="176">
        <f>SUM(C166+C150+C168)</f>
        <v>815179</v>
      </c>
      <c r="D169" s="176">
        <f>SUM(D166+D150+D168)</f>
        <v>1181191</v>
      </c>
      <c r="E169" s="176">
        <f>SUM(E166+E150+E168)</f>
        <v>-1027038</v>
      </c>
      <c r="F169" s="176">
        <f>SUM(F166+F150+F168)</f>
        <v>969332</v>
      </c>
      <c r="G169" s="174" t="s">
        <v>242</v>
      </c>
      <c r="H169" s="175" t="s">
        <v>246</v>
      </c>
      <c r="I169" s="176">
        <f>SUM(I152,I166,I168)</f>
        <v>815179</v>
      </c>
      <c r="J169" s="176">
        <f>SUM(J152,J166,J168)</f>
        <v>1181191</v>
      </c>
      <c r="K169" s="176">
        <f>SUM(K152,K166,K168)</f>
        <v>-1027038</v>
      </c>
      <c r="L169" s="176">
        <f>SUM(L152,L166,L168)</f>
        <v>969332</v>
      </c>
    </row>
    <row r="170" spans="1:12" ht="12.75" customHeight="1">
      <c r="A170" s="164" t="s">
        <v>251</v>
      </c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</row>
    <row r="171" spans="1:12" ht="20.25" customHeight="1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</row>
    <row r="172" spans="1:12" ht="12.75">
      <c r="A172" s="165" t="s">
        <v>244</v>
      </c>
      <c r="B172" s="166"/>
      <c r="C172" s="167"/>
      <c r="D172" s="167"/>
      <c r="E172" s="167"/>
      <c r="F172" s="167"/>
      <c r="G172" s="166"/>
      <c r="H172" s="166"/>
      <c r="I172" s="168" t="s">
        <v>143</v>
      </c>
      <c r="J172" s="168"/>
      <c r="K172" s="168"/>
      <c r="L172" s="168"/>
    </row>
    <row r="173" spans="1:12" ht="12.75" customHeight="1">
      <c r="A173" s="169" t="s">
        <v>144</v>
      </c>
      <c r="B173" s="170" t="s">
        <v>145</v>
      </c>
      <c r="C173" s="171" t="s">
        <v>146</v>
      </c>
      <c r="D173" s="171" t="s">
        <v>147</v>
      </c>
      <c r="E173" s="171" t="s">
        <v>148</v>
      </c>
      <c r="F173" s="171" t="s">
        <v>149</v>
      </c>
      <c r="G173" s="169" t="s">
        <v>144</v>
      </c>
      <c r="H173" s="170" t="s">
        <v>150</v>
      </c>
      <c r="I173" s="171" t="s">
        <v>146</v>
      </c>
      <c r="J173" s="171" t="s">
        <v>147</v>
      </c>
      <c r="K173" s="171" t="s">
        <v>148</v>
      </c>
      <c r="L173" s="171" t="s">
        <v>149</v>
      </c>
    </row>
    <row r="174" spans="1:12" ht="12.75" customHeight="1">
      <c r="A174" s="169"/>
      <c r="B174" s="170"/>
      <c r="C174" s="171"/>
      <c r="D174" s="171"/>
      <c r="E174" s="171"/>
      <c r="F174" s="171"/>
      <c r="G174" s="169"/>
      <c r="H174" s="170"/>
      <c r="I174" s="171"/>
      <c r="J174" s="171"/>
      <c r="K174" s="171"/>
      <c r="L174" s="171"/>
    </row>
    <row r="175" spans="1:12" ht="12.75" customHeight="1">
      <c r="A175" s="169"/>
      <c r="B175" s="170"/>
      <c r="C175" s="171"/>
      <c r="D175" s="171"/>
      <c r="E175" s="171"/>
      <c r="F175" s="171"/>
      <c r="G175" s="169"/>
      <c r="H175" s="170"/>
      <c r="I175" s="171"/>
      <c r="J175" s="171"/>
      <c r="K175" s="171"/>
      <c r="L175" s="171"/>
    </row>
    <row r="176" spans="1:12" ht="12.75">
      <c r="A176" s="172" t="s">
        <v>12</v>
      </c>
      <c r="B176" s="172" t="s">
        <v>151</v>
      </c>
      <c r="C176" s="173"/>
      <c r="D176" s="173"/>
      <c r="E176" s="173"/>
      <c r="F176" s="173"/>
      <c r="G176" s="172"/>
      <c r="H176" s="172" t="s">
        <v>152</v>
      </c>
      <c r="I176" s="173">
        <f>SUM(I177:I179,I180,I187,I188)</f>
        <v>274896</v>
      </c>
      <c r="J176" s="173">
        <f>SUM(J177:J179,J180,J187,J188)</f>
        <v>45156</v>
      </c>
      <c r="K176" s="173">
        <f>SUM(K177:K179,K180,K187,K188)</f>
        <v>-1551</v>
      </c>
      <c r="L176" s="173">
        <f>SUM(L177:L179,L180,L187,L188)</f>
        <v>318501</v>
      </c>
    </row>
    <row r="177" spans="1:12" ht="12.75">
      <c r="A177" s="174" t="s">
        <v>14</v>
      </c>
      <c r="B177" s="175" t="s">
        <v>153</v>
      </c>
      <c r="C177" s="176">
        <v>11403</v>
      </c>
      <c r="D177" s="176">
        <v>-2100</v>
      </c>
      <c r="E177" s="176">
        <f>-3100-1700</f>
        <v>-4800</v>
      </c>
      <c r="F177" s="176">
        <f>SUM(C177:E177)</f>
        <v>4503</v>
      </c>
      <c r="G177" s="172" t="s">
        <v>12</v>
      </c>
      <c r="H177" s="172" t="s">
        <v>47</v>
      </c>
      <c r="I177" s="167">
        <f>164207-450</f>
        <v>163757</v>
      </c>
      <c r="J177" s="167">
        <f>6818+4389+544+132+3068+896+854+3462</f>
        <v>20163</v>
      </c>
      <c r="K177" s="167">
        <f>-3889-4118-1349+6514+495+160+350+444</f>
        <v>-1393</v>
      </c>
      <c r="L177" s="167">
        <f>SUM(I177:K177)</f>
        <v>182527</v>
      </c>
    </row>
    <row r="178" spans="1:12" ht="12.75">
      <c r="A178" s="174" t="s">
        <v>40</v>
      </c>
      <c r="B178" s="175" t="s">
        <v>154</v>
      </c>
      <c r="C178" s="176">
        <v>0</v>
      </c>
      <c r="D178" s="176"/>
      <c r="E178" s="176"/>
      <c r="F178" s="176">
        <f aca="true" t="shared" si="36" ref="F178:F187">SUM(C178:E178)</f>
        <v>0</v>
      </c>
      <c r="G178" s="172" t="s">
        <v>155</v>
      </c>
      <c r="H178" s="172" t="s">
        <v>156</v>
      </c>
      <c r="I178" s="167">
        <v>52905</v>
      </c>
      <c r="J178" s="167">
        <f>2181+1404+174+42+215+40+4+27+14+205+38+4+26+14+886</f>
        <v>5274</v>
      </c>
      <c r="K178" s="167">
        <v>-3039</v>
      </c>
      <c r="L178" s="167">
        <f aca="true" t="shared" si="37" ref="L178:L185">SUM(I178:K178)</f>
        <v>55140</v>
      </c>
    </row>
    <row r="179" spans="1:12" ht="12.75">
      <c r="A179" s="177" t="s">
        <v>157</v>
      </c>
      <c r="B179" s="166" t="s">
        <v>158</v>
      </c>
      <c r="C179" s="167">
        <v>0</v>
      </c>
      <c r="D179" s="167"/>
      <c r="E179" s="167"/>
      <c r="F179" s="176">
        <f t="shared" si="36"/>
        <v>0</v>
      </c>
      <c r="G179" s="172" t="s">
        <v>159</v>
      </c>
      <c r="H179" s="172" t="s">
        <v>160</v>
      </c>
      <c r="I179" s="167">
        <v>42086</v>
      </c>
      <c r="J179" s="167">
        <f>10213+25+20+7799</f>
        <v>18057</v>
      </c>
      <c r="K179" s="167">
        <v>2881</v>
      </c>
      <c r="L179" s="167">
        <f t="shared" si="37"/>
        <v>63024</v>
      </c>
    </row>
    <row r="180" spans="1:12" ht="12.75">
      <c r="A180" s="177" t="s">
        <v>161</v>
      </c>
      <c r="B180" s="166" t="s">
        <v>162</v>
      </c>
      <c r="C180" s="167"/>
      <c r="D180" s="167"/>
      <c r="E180" s="167"/>
      <c r="F180" s="176">
        <f t="shared" si="36"/>
        <v>0</v>
      </c>
      <c r="G180" s="172" t="s">
        <v>163</v>
      </c>
      <c r="H180" s="172" t="s">
        <v>164</v>
      </c>
      <c r="I180" s="167">
        <f>SUM(I181:I185)</f>
        <v>16148</v>
      </c>
      <c r="J180" s="167">
        <f>SUM(J181:J185)</f>
        <v>1662</v>
      </c>
      <c r="K180" s="167"/>
      <c r="L180" s="167">
        <f t="shared" si="37"/>
        <v>17810</v>
      </c>
    </row>
    <row r="181" spans="1:12" ht="12.75">
      <c r="A181" s="177" t="s">
        <v>165</v>
      </c>
      <c r="B181" s="166" t="s">
        <v>166</v>
      </c>
      <c r="C181" s="167"/>
      <c r="D181" s="167"/>
      <c r="E181" s="167"/>
      <c r="F181" s="176">
        <f t="shared" si="36"/>
        <v>0</v>
      </c>
      <c r="G181" s="174" t="s">
        <v>14</v>
      </c>
      <c r="H181" s="166" t="s">
        <v>167</v>
      </c>
      <c r="I181" s="167">
        <v>9840</v>
      </c>
      <c r="J181" s="167">
        <f>892+770</f>
        <v>1662</v>
      </c>
      <c r="K181" s="167"/>
      <c r="L181" s="167">
        <f t="shared" si="37"/>
        <v>11502</v>
      </c>
    </row>
    <row r="182" spans="1:12" ht="12.75">
      <c r="A182" s="178" t="s">
        <v>168</v>
      </c>
      <c r="B182" s="172" t="s">
        <v>169</v>
      </c>
      <c r="C182" s="167"/>
      <c r="D182" s="167"/>
      <c r="E182" s="167"/>
      <c r="F182" s="176">
        <f t="shared" si="36"/>
        <v>0</v>
      </c>
      <c r="G182" s="174" t="s">
        <v>40</v>
      </c>
      <c r="H182" s="166" t="s">
        <v>170</v>
      </c>
      <c r="I182" s="167"/>
      <c r="J182" s="167"/>
      <c r="K182" s="167"/>
      <c r="L182" s="167">
        <f t="shared" si="37"/>
        <v>0</v>
      </c>
    </row>
    <row r="183" spans="1:12" ht="12.75">
      <c r="A183" s="174" t="s">
        <v>14</v>
      </c>
      <c r="B183" s="175" t="s">
        <v>171</v>
      </c>
      <c r="C183" s="176">
        <f>SUM(C184:C186)</f>
        <v>195751</v>
      </c>
      <c r="D183" s="176">
        <f>SUM(D184:D186)</f>
        <v>22329</v>
      </c>
      <c r="E183" s="176">
        <f>SUM(E184:E186)</f>
        <v>-2521</v>
      </c>
      <c r="F183" s="176">
        <f t="shared" si="36"/>
        <v>215559</v>
      </c>
      <c r="G183" s="174" t="s">
        <v>105</v>
      </c>
      <c r="H183" s="166" t="s">
        <v>172</v>
      </c>
      <c r="I183" s="167">
        <v>0</v>
      </c>
      <c r="J183" s="167"/>
      <c r="K183" s="167"/>
      <c r="L183" s="167">
        <f t="shared" si="37"/>
        <v>0</v>
      </c>
    </row>
    <row r="184" spans="1:12" ht="12.75">
      <c r="A184" s="174" t="s">
        <v>173</v>
      </c>
      <c r="B184" s="166" t="s">
        <v>174</v>
      </c>
      <c r="C184" s="167">
        <v>194681</v>
      </c>
      <c r="D184" s="167">
        <f>-2056-6587</f>
        <v>-8643</v>
      </c>
      <c r="E184" s="167">
        <f>70+7</f>
        <v>77</v>
      </c>
      <c r="F184" s="176">
        <f t="shared" si="36"/>
        <v>186115</v>
      </c>
      <c r="G184" s="174" t="s">
        <v>107</v>
      </c>
      <c r="H184" s="166" t="s">
        <v>175</v>
      </c>
      <c r="I184" s="167">
        <v>252</v>
      </c>
      <c r="J184" s="167"/>
      <c r="K184" s="167"/>
      <c r="L184" s="167">
        <f t="shared" si="37"/>
        <v>252</v>
      </c>
    </row>
    <row r="185" spans="1:12" ht="12.75">
      <c r="A185" s="174" t="s">
        <v>176</v>
      </c>
      <c r="B185" s="166" t="s">
        <v>177</v>
      </c>
      <c r="C185" s="167">
        <v>0</v>
      </c>
      <c r="D185" s="167">
        <f>10213+5793+8999+718+174+5091</f>
        <v>30988</v>
      </c>
      <c r="E185" s="167">
        <f>-2849+259</f>
        <v>-2590</v>
      </c>
      <c r="F185" s="176">
        <f t="shared" si="36"/>
        <v>28398</v>
      </c>
      <c r="G185" s="174" t="s">
        <v>117</v>
      </c>
      <c r="H185" s="166" t="s">
        <v>178</v>
      </c>
      <c r="I185" s="167">
        <v>6056</v>
      </c>
      <c r="J185" s="167"/>
      <c r="K185" s="167"/>
      <c r="L185" s="167">
        <f t="shared" si="37"/>
        <v>6056</v>
      </c>
    </row>
    <row r="186" spans="1:12" ht="12.75">
      <c r="A186" s="174" t="s">
        <v>179</v>
      </c>
      <c r="B186" s="166" t="s">
        <v>180</v>
      </c>
      <c r="C186" s="167">
        <v>1070</v>
      </c>
      <c r="D186" s="167">
        <v>-16</v>
      </c>
      <c r="E186" s="167">
        <v>-8</v>
      </c>
      <c r="F186" s="176">
        <f t="shared" si="36"/>
        <v>1046</v>
      </c>
      <c r="G186" s="174"/>
      <c r="H186" s="166"/>
      <c r="I186" s="167"/>
      <c r="J186" s="167"/>
      <c r="K186" s="167"/>
      <c r="L186" s="167"/>
    </row>
    <row r="187" spans="1:12" ht="12.75">
      <c r="A187" s="172" t="s">
        <v>181</v>
      </c>
      <c r="B187" s="172" t="s">
        <v>182</v>
      </c>
      <c r="C187" s="167">
        <v>7054</v>
      </c>
      <c r="D187" s="167">
        <f>268+3068+25+20+931+1196+1141+2297</f>
        <v>8946</v>
      </c>
      <c r="E187" s="167">
        <v>252</v>
      </c>
      <c r="F187" s="176">
        <f t="shared" si="36"/>
        <v>16252</v>
      </c>
      <c r="G187" s="172" t="s">
        <v>183</v>
      </c>
      <c r="H187" s="172" t="s">
        <v>184</v>
      </c>
      <c r="I187" s="167"/>
      <c r="J187" s="167"/>
      <c r="K187" s="167"/>
      <c r="L187" s="167"/>
    </row>
    <row r="188" spans="1:12" ht="12.75">
      <c r="A188" s="172" t="s">
        <v>185</v>
      </c>
      <c r="B188" s="172" t="s">
        <v>186</v>
      </c>
      <c r="C188" s="167"/>
      <c r="D188" s="167"/>
      <c r="E188" s="167"/>
      <c r="F188" s="167"/>
      <c r="G188" s="172" t="s">
        <v>187</v>
      </c>
      <c r="H188" s="172" t="s">
        <v>188</v>
      </c>
      <c r="I188" s="167"/>
      <c r="J188" s="167"/>
      <c r="K188" s="167"/>
      <c r="L188" s="167"/>
    </row>
    <row r="189" spans="1:12" ht="12.75">
      <c r="A189" s="174"/>
      <c r="B189" s="166" t="s">
        <v>189</v>
      </c>
      <c r="C189" s="167"/>
      <c r="D189" s="167"/>
      <c r="E189" s="167"/>
      <c r="F189" s="167"/>
      <c r="G189" s="174" t="s">
        <v>14</v>
      </c>
      <c r="H189" s="166" t="s">
        <v>190</v>
      </c>
      <c r="I189" s="167"/>
      <c r="J189" s="167"/>
      <c r="K189" s="167"/>
      <c r="L189" s="167"/>
    </row>
    <row r="190" spans="1:12" ht="12.75">
      <c r="A190" s="172" t="s">
        <v>191</v>
      </c>
      <c r="B190" s="172" t="s">
        <v>192</v>
      </c>
      <c r="C190" s="176">
        <v>0</v>
      </c>
      <c r="D190" s="176">
        <v>0</v>
      </c>
      <c r="E190" s="176">
        <v>0</v>
      </c>
      <c r="F190" s="176"/>
      <c r="G190" s="174" t="s">
        <v>40</v>
      </c>
      <c r="H190" s="166" t="s">
        <v>193</v>
      </c>
      <c r="I190" s="167"/>
      <c r="J190" s="167"/>
      <c r="K190" s="167"/>
      <c r="L190" s="167"/>
    </row>
    <row r="191" spans="1:12" ht="12.75">
      <c r="A191" s="172" t="s">
        <v>187</v>
      </c>
      <c r="B191" s="172" t="s">
        <v>194</v>
      </c>
      <c r="C191" s="167"/>
      <c r="D191" s="167"/>
      <c r="E191" s="167"/>
      <c r="F191" s="167"/>
      <c r="G191" s="174"/>
      <c r="H191" s="166"/>
      <c r="I191" s="167"/>
      <c r="J191" s="167"/>
      <c r="K191" s="167"/>
      <c r="L191" s="167"/>
    </row>
    <row r="192" spans="1:12" ht="12.75">
      <c r="A192" s="174"/>
      <c r="B192" s="175" t="s">
        <v>195</v>
      </c>
      <c r="C192" s="176">
        <f>SUM(C177+C178+C183+C187+C188+C190+C191)</f>
        <v>214208</v>
      </c>
      <c r="D192" s="176">
        <f>SUM(D177+D178+D183+D187+D188+D190+D191)</f>
        <v>29175</v>
      </c>
      <c r="E192" s="176">
        <f>SUM(E177+E178+E183+E187+E188+E190+E191)</f>
        <v>-7069</v>
      </c>
      <c r="F192" s="176">
        <f>SUM(F177+F178+F183+F187+F188+F190+F191)</f>
        <v>236314</v>
      </c>
      <c r="G192" s="174"/>
      <c r="H192" s="175" t="s">
        <v>196</v>
      </c>
      <c r="I192" s="176">
        <f>SUM(I177+I178+I179+I180)</f>
        <v>274896</v>
      </c>
      <c r="J192" s="176">
        <f>SUM(J177+J178+J179+J180)</f>
        <v>45156</v>
      </c>
      <c r="K192" s="176">
        <f>SUM(K177+K178+K179+K180)</f>
        <v>-1551</v>
      </c>
      <c r="L192" s="176">
        <f>SUM(I192:K192)</f>
        <v>318501</v>
      </c>
    </row>
    <row r="193" spans="1:12" ht="12.75">
      <c r="A193" s="174"/>
      <c r="B193" s="179" t="s">
        <v>197</v>
      </c>
      <c r="C193" s="180">
        <f>I194-C192</f>
        <v>92078</v>
      </c>
      <c r="D193" s="180">
        <f>J194-D192</f>
        <v>13881</v>
      </c>
      <c r="E193" s="180">
        <f>K194-E192</f>
        <v>5518</v>
      </c>
      <c r="F193" s="180">
        <f>L194-F192</f>
        <v>111477</v>
      </c>
      <c r="G193" s="174"/>
      <c r="H193" s="166" t="s">
        <v>198</v>
      </c>
      <c r="I193" s="180">
        <f>32055-665</f>
        <v>31390</v>
      </c>
      <c r="J193" s="180">
        <v>-2100</v>
      </c>
      <c r="K193" s="180"/>
      <c r="L193" s="167">
        <f>SUM(I193:K193)</f>
        <v>29290</v>
      </c>
    </row>
    <row r="194" spans="1:12" ht="12.75">
      <c r="A194" s="174"/>
      <c r="B194" s="172" t="s">
        <v>199</v>
      </c>
      <c r="C194" s="167"/>
      <c r="D194" s="167"/>
      <c r="E194" s="167"/>
      <c r="F194" s="167"/>
      <c r="G194" s="174"/>
      <c r="H194" s="175" t="s">
        <v>200</v>
      </c>
      <c r="I194" s="176">
        <f>SUM(I192:I193)</f>
        <v>306286</v>
      </c>
      <c r="J194" s="176">
        <f>SUM(J192:J193)</f>
        <v>43056</v>
      </c>
      <c r="K194" s="176">
        <f>SUM(K192:K193)</f>
        <v>-1551</v>
      </c>
      <c r="L194" s="176">
        <f>SUM(I194:K194)</f>
        <v>347791</v>
      </c>
    </row>
    <row r="195" spans="1:12" ht="12.75">
      <c r="A195" s="172" t="s">
        <v>201</v>
      </c>
      <c r="B195" s="172" t="s">
        <v>202</v>
      </c>
      <c r="C195" s="167"/>
      <c r="D195" s="167"/>
      <c r="E195" s="167"/>
      <c r="F195" s="167"/>
      <c r="G195" s="174"/>
      <c r="H195" s="179" t="s">
        <v>203</v>
      </c>
      <c r="I195" s="167"/>
      <c r="J195" s="167"/>
      <c r="K195" s="167"/>
      <c r="L195" s="167"/>
    </row>
    <row r="196" spans="1:12" ht="12.75">
      <c r="A196" s="172" t="s">
        <v>204</v>
      </c>
      <c r="B196" s="172" t="s">
        <v>205</v>
      </c>
      <c r="C196" s="167"/>
      <c r="D196" s="167"/>
      <c r="E196" s="167"/>
      <c r="F196" s="167"/>
      <c r="G196" s="174"/>
      <c r="H196" s="172" t="s">
        <v>206</v>
      </c>
      <c r="I196" s="167"/>
      <c r="J196" s="167"/>
      <c r="K196" s="167"/>
      <c r="L196" s="167"/>
    </row>
    <row r="197" spans="1:12" ht="12.75">
      <c r="A197" s="172" t="s">
        <v>207</v>
      </c>
      <c r="B197" s="172" t="s">
        <v>208</v>
      </c>
      <c r="C197" s="167"/>
      <c r="D197" s="167"/>
      <c r="E197" s="167"/>
      <c r="F197" s="167"/>
      <c r="G197" s="172" t="s">
        <v>159</v>
      </c>
      <c r="H197" s="172" t="s">
        <v>209</v>
      </c>
      <c r="I197" s="167"/>
      <c r="J197" s="167"/>
      <c r="K197" s="167"/>
      <c r="L197" s="167"/>
    </row>
    <row r="198" spans="1:12" ht="12.75">
      <c r="A198" s="172" t="s">
        <v>210</v>
      </c>
      <c r="B198" s="172" t="s">
        <v>211</v>
      </c>
      <c r="C198" s="167"/>
      <c r="D198" s="167"/>
      <c r="E198" s="167">
        <v>2849</v>
      </c>
      <c r="F198" s="167">
        <f>SUM(C198:E198)</f>
        <v>2849</v>
      </c>
      <c r="G198" s="172" t="s">
        <v>163</v>
      </c>
      <c r="H198" s="172" t="s">
        <v>164</v>
      </c>
      <c r="I198" s="167"/>
      <c r="J198" s="167"/>
      <c r="K198" s="167"/>
      <c r="L198" s="167"/>
    </row>
    <row r="199" spans="1:12" ht="12.75">
      <c r="A199" s="172" t="s">
        <v>159</v>
      </c>
      <c r="B199" s="172" t="s">
        <v>212</v>
      </c>
      <c r="C199" s="167"/>
      <c r="D199" s="167"/>
      <c r="E199" s="167"/>
      <c r="F199" s="167"/>
      <c r="G199" s="174" t="s">
        <v>14</v>
      </c>
      <c r="H199" s="166" t="s">
        <v>167</v>
      </c>
      <c r="I199" s="167"/>
      <c r="J199" s="167"/>
      <c r="K199" s="167"/>
      <c r="L199" s="167"/>
    </row>
    <row r="200" spans="1:12" ht="12.75">
      <c r="A200" s="174" t="s">
        <v>14</v>
      </c>
      <c r="B200" s="181" t="s">
        <v>213</v>
      </c>
      <c r="C200" s="167"/>
      <c r="D200" s="167"/>
      <c r="E200" s="167"/>
      <c r="F200" s="167"/>
      <c r="G200" s="174" t="s">
        <v>40</v>
      </c>
      <c r="H200" s="166" t="s">
        <v>214</v>
      </c>
      <c r="I200" s="167"/>
      <c r="J200" s="167"/>
      <c r="K200" s="167"/>
      <c r="L200" s="167"/>
    </row>
    <row r="201" spans="1:12" ht="12.75">
      <c r="A201" s="174" t="s">
        <v>40</v>
      </c>
      <c r="B201" s="181" t="s">
        <v>215</v>
      </c>
      <c r="C201" s="167"/>
      <c r="D201" s="167"/>
      <c r="E201" s="167"/>
      <c r="F201" s="167"/>
      <c r="G201" s="172" t="s">
        <v>216</v>
      </c>
      <c r="H201" s="172" t="s">
        <v>217</v>
      </c>
      <c r="I201" s="167"/>
      <c r="J201" s="167">
        <f>SUM(J202:J204)</f>
        <v>0</v>
      </c>
      <c r="K201" s="167">
        <f>SUM(K202:K204)</f>
        <v>2849</v>
      </c>
      <c r="L201" s="167">
        <f>SUM(I201:K201)</f>
        <v>2849</v>
      </c>
    </row>
    <row r="202" spans="1:12" ht="12.75">
      <c r="A202" s="174" t="s">
        <v>105</v>
      </c>
      <c r="B202" s="181" t="s">
        <v>218</v>
      </c>
      <c r="C202" s="167"/>
      <c r="D202" s="167"/>
      <c r="E202" s="167"/>
      <c r="F202" s="167"/>
      <c r="G202" s="174" t="s">
        <v>14</v>
      </c>
      <c r="H202" s="181" t="s">
        <v>91</v>
      </c>
      <c r="I202" s="167"/>
      <c r="J202" s="167"/>
      <c r="K202" s="167"/>
      <c r="L202" s="167">
        <f>SUM(I202:K202)</f>
        <v>0</v>
      </c>
    </row>
    <row r="203" spans="1:12" ht="12.75">
      <c r="A203" s="172" t="s">
        <v>219</v>
      </c>
      <c r="B203" s="172" t="s">
        <v>220</v>
      </c>
      <c r="C203" s="167"/>
      <c r="D203" s="167"/>
      <c r="E203" s="167"/>
      <c r="F203" s="167"/>
      <c r="G203" s="174" t="s">
        <v>40</v>
      </c>
      <c r="H203" s="181" t="s">
        <v>90</v>
      </c>
      <c r="I203" s="167"/>
      <c r="J203" s="167"/>
      <c r="K203" s="167">
        <f>1917+479+362+91</f>
        <v>2849</v>
      </c>
      <c r="L203" s="167">
        <f>SUM(I203:K203)</f>
        <v>2849</v>
      </c>
    </row>
    <row r="204" spans="1:12" ht="12.75">
      <c r="A204" s="172" t="s">
        <v>221</v>
      </c>
      <c r="B204" s="172" t="s">
        <v>222</v>
      </c>
      <c r="C204" s="167"/>
      <c r="D204" s="167"/>
      <c r="E204" s="167"/>
      <c r="F204" s="167"/>
      <c r="G204" s="174" t="s">
        <v>105</v>
      </c>
      <c r="H204" s="166" t="s">
        <v>223</v>
      </c>
      <c r="I204" s="167"/>
      <c r="J204" s="167"/>
      <c r="K204" s="167"/>
      <c r="L204" s="167"/>
    </row>
    <row r="205" spans="1:12" ht="12.75">
      <c r="A205" s="172" t="s">
        <v>216</v>
      </c>
      <c r="B205" s="172" t="s">
        <v>224</v>
      </c>
      <c r="C205" s="167">
        <v>0</v>
      </c>
      <c r="D205" s="167">
        <v>0</v>
      </c>
      <c r="E205" s="167">
        <v>0</v>
      </c>
      <c r="F205" s="167"/>
      <c r="G205" s="172" t="s">
        <v>183</v>
      </c>
      <c r="H205" s="172" t="s">
        <v>225</v>
      </c>
      <c r="I205" s="167"/>
      <c r="J205" s="167"/>
      <c r="K205" s="167"/>
      <c r="L205" s="167"/>
    </row>
    <row r="206" spans="1:12" ht="12.75">
      <c r="A206" s="172" t="s">
        <v>183</v>
      </c>
      <c r="B206" s="172" t="s">
        <v>225</v>
      </c>
      <c r="C206" s="167">
        <v>0</v>
      </c>
      <c r="D206" s="167">
        <v>0</v>
      </c>
      <c r="E206" s="167">
        <v>0</v>
      </c>
      <c r="F206" s="167"/>
      <c r="G206" s="172" t="s">
        <v>187</v>
      </c>
      <c r="H206" s="172" t="s">
        <v>188</v>
      </c>
      <c r="I206" s="167"/>
      <c r="J206" s="167"/>
      <c r="K206" s="167"/>
      <c r="L206" s="167"/>
    </row>
    <row r="207" spans="1:12" ht="12.75">
      <c r="A207" s="172" t="s">
        <v>187</v>
      </c>
      <c r="B207" s="172" t="s">
        <v>194</v>
      </c>
      <c r="C207" s="167">
        <v>0</v>
      </c>
      <c r="D207" s="167">
        <v>0</v>
      </c>
      <c r="E207" s="167">
        <v>0</v>
      </c>
      <c r="F207" s="167"/>
      <c r="G207" s="174" t="s">
        <v>14</v>
      </c>
      <c r="H207" s="166" t="s">
        <v>190</v>
      </c>
      <c r="I207" s="167"/>
      <c r="J207" s="167"/>
      <c r="K207" s="167"/>
      <c r="L207" s="167"/>
    </row>
    <row r="208" spans="1:12" ht="12.75">
      <c r="A208" s="174"/>
      <c r="B208" s="175" t="s">
        <v>226</v>
      </c>
      <c r="C208" s="176">
        <f>SUM(C195:C199,C203:C205,C207)</f>
        <v>0</v>
      </c>
      <c r="D208" s="176">
        <f>SUM(D195:D199,D203:D205,D207)</f>
        <v>0</v>
      </c>
      <c r="E208" s="176">
        <f>SUM(E195:E199,E203:E205,E207)</f>
        <v>2849</v>
      </c>
      <c r="F208" s="176">
        <f>SUM(F195:F199,F203:F205,F207)</f>
        <v>2849</v>
      </c>
      <c r="G208" s="174" t="s">
        <v>238</v>
      </c>
      <c r="H208" s="175" t="s">
        <v>227</v>
      </c>
      <c r="I208" s="176">
        <f>SUM(I197:I198,I201,I205,I206)</f>
        <v>0</v>
      </c>
      <c r="J208" s="176">
        <f>SUM(J197:J198,J201,J205,J206)</f>
        <v>0</v>
      </c>
      <c r="K208" s="176">
        <f>SUM(K197:K198,K201,K205,K206)</f>
        <v>2849</v>
      </c>
      <c r="L208" s="176">
        <f>SUM(L197:L198,L201,L205,L206)</f>
        <v>2849</v>
      </c>
    </row>
    <row r="209" spans="1:12" ht="12.75">
      <c r="A209" s="174"/>
      <c r="B209" s="179" t="s">
        <v>230</v>
      </c>
      <c r="C209" s="180"/>
      <c r="D209" s="180"/>
      <c r="E209" s="180"/>
      <c r="F209" s="184"/>
      <c r="G209" s="174" t="s">
        <v>239</v>
      </c>
      <c r="H209" s="166" t="s">
        <v>231</v>
      </c>
      <c r="I209" s="167">
        <f>C208-I208</f>
        <v>0</v>
      </c>
      <c r="J209" s="167">
        <f>D208-J208</f>
        <v>0</v>
      </c>
      <c r="K209" s="167">
        <f>E208-K208</f>
        <v>0</v>
      </c>
      <c r="L209" s="167"/>
    </row>
    <row r="210" spans="1:12" ht="12.75">
      <c r="A210" s="174"/>
      <c r="B210" s="182" t="s">
        <v>232</v>
      </c>
      <c r="C210" s="183">
        <f>SUM(C209+C193)</f>
        <v>92078</v>
      </c>
      <c r="D210" s="183">
        <f>SUM(D209+D193)</f>
        <v>13881</v>
      </c>
      <c r="E210" s="183">
        <f>SUM(E209+E193)</f>
        <v>5518</v>
      </c>
      <c r="F210" s="183">
        <f>SUM(F209+F193)</f>
        <v>111477</v>
      </c>
      <c r="G210" s="174" t="s">
        <v>240</v>
      </c>
      <c r="H210" s="182" t="s">
        <v>233</v>
      </c>
      <c r="I210" s="176"/>
      <c r="J210" s="176"/>
      <c r="K210" s="176"/>
      <c r="L210" s="167"/>
    </row>
    <row r="211" spans="1:12" ht="12.75">
      <c r="A211" s="174"/>
      <c r="B211" s="175" t="s">
        <v>252</v>
      </c>
      <c r="C211" s="176">
        <f>SUM(C208+C192+C210)</f>
        <v>306286</v>
      </c>
      <c r="D211" s="176">
        <f>SUM(D208+D192+D210)</f>
        <v>43056</v>
      </c>
      <c r="E211" s="176">
        <f>SUM(E208+E192+E210)</f>
        <v>1298</v>
      </c>
      <c r="F211" s="176">
        <f>SUM(F208+F192+F210)</f>
        <v>350640</v>
      </c>
      <c r="G211" s="174" t="s">
        <v>242</v>
      </c>
      <c r="H211" s="175" t="s">
        <v>252</v>
      </c>
      <c r="I211" s="176">
        <f>SUM(I194,I208,I210)</f>
        <v>306286</v>
      </c>
      <c r="J211" s="176">
        <f>SUM(J194,J208,J210)</f>
        <v>43056</v>
      </c>
      <c r="K211" s="176">
        <f>SUM(K194,K208,K210)</f>
        <v>1298</v>
      </c>
      <c r="L211" s="176">
        <f>SUM(L194,L208,L210)</f>
        <v>350640</v>
      </c>
    </row>
    <row r="212" spans="1:12" ht="12.75" customHeight="1">
      <c r="A212" s="164" t="s">
        <v>253</v>
      </c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</row>
    <row r="213" spans="1:12" ht="23.25" customHeight="1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</row>
    <row r="214" spans="1:12" ht="12.75">
      <c r="A214" s="165" t="s">
        <v>244</v>
      </c>
      <c r="B214" s="166"/>
      <c r="C214" s="167"/>
      <c r="D214" s="167"/>
      <c r="E214" s="167"/>
      <c r="F214" s="167"/>
      <c r="G214" s="166"/>
      <c r="H214" s="166"/>
      <c r="I214" s="168" t="s">
        <v>143</v>
      </c>
      <c r="J214" s="168"/>
      <c r="K214" s="168"/>
      <c r="L214" s="168"/>
    </row>
    <row r="215" spans="1:12" ht="12.75" customHeight="1">
      <c r="A215" s="169" t="s">
        <v>144</v>
      </c>
      <c r="B215" s="170" t="s">
        <v>145</v>
      </c>
      <c r="C215" s="171" t="s">
        <v>146</v>
      </c>
      <c r="D215" s="171" t="s">
        <v>147</v>
      </c>
      <c r="E215" s="171" t="s">
        <v>148</v>
      </c>
      <c r="F215" s="171" t="s">
        <v>149</v>
      </c>
      <c r="G215" s="169" t="s">
        <v>144</v>
      </c>
      <c r="H215" s="170" t="s">
        <v>150</v>
      </c>
      <c r="I215" s="171" t="s">
        <v>146</v>
      </c>
      <c r="J215" s="171" t="s">
        <v>147</v>
      </c>
      <c r="K215" s="171" t="s">
        <v>148</v>
      </c>
      <c r="L215" s="171" t="s">
        <v>149</v>
      </c>
    </row>
    <row r="216" spans="1:12" ht="12.75" customHeight="1">
      <c r="A216" s="169"/>
      <c r="B216" s="170"/>
      <c r="C216" s="171"/>
      <c r="D216" s="171"/>
      <c r="E216" s="171"/>
      <c r="F216" s="171"/>
      <c r="G216" s="169"/>
      <c r="H216" s="170"/>
      <c r="I216" s="171"/>
      <c r="J216" s="171"/>
      <c r="K216" s="171"/>
      <c r="L216" s="171"/>
    </row>
    <row r="217" spans="1:12" ht="12.75" customHeight="1">
      <c r="A217" s="169"/>
      <c r="B217" s="170"/>
      <c r="C217" s="171"/>
      <c r="D217" s="171"/>
      <c r="E217" s="171"/>
      <c r="F217" s="171"/>
      <c r="G217" s="169"/>
      <c r="H217" s="170"/>
      <c r="I217" s="171"/>
      <c r="J217" s="171"/>
      <c r="K217" s="171"/>
      <c r="L217" s="171"/>
    </row>
    <row r="218" spans="1:12" ht="12.75">
      <c r="A218" s="172" t="s">
        <v>12</v>
      </c>
      <c r="B218" s="172" t="s">
        <v>151</v>
      </c>
      <c r="C218" s="173"/>
      <c r="D218" s="173"/>
      <c r="E218" s="173"/>
      <c r="F218" s="173"/>
      <c r="G218" s="172"/>
      <c r="H218" s="172" t="s">
        <v>152</v>
      </c>
      <c r="I218" s="173">
        <f>SUM(I219:I221,I222,I229,I230)</f>
        <v>105524</v>
      </c>
      <c r="J218" s="173">
        <f>SUM(J219:J221,J222,J229,J230)</f>
        <v>9512</v>
      </c>
      <c r="K218" s="173">
        <f>SUM(K219:K221,K222,K229,K230)</f>
        <v>-2411</v>
      </c>
      <c r="L218" s="173">
        <f>SUM(I218:K218)</f>
        <v>112625</v>
      </c>
    </row>
    <row r="219" spans="1:12" ht="12.75">
      <c r="A219" s="174" t="s">
        <v>14</v>
      </c>
      <c r="B219" s="175" t="s">
        <v>153</v>
      </c>
      <c r="C219" s="176">
        <v>8932</v>
      </c>
      <c r="D219" s="176">
        <v>-2880</v>
      </c>
      <c r="E219" s="176">
        <f>-9577+9577-1690-670</f>
        <v>-2360</v>
      </c>
      <c r="F219" s="176">
        <f>SUM(C219:E219)</f>
        <v>3692</v>
      </c>
      <c r="G219" s="172" t="s">
        <v>12</v>
      </c>
      <c r="H219" s="172" t="s">
        <v>47</v>
      </c>
      <c r="I219" s="167">
        <f>71432-2475</f>
        <v>68957</v>
      </c>
      <c r="J219" s="167">
        <f>2044+2010+986</f>
        <v>5040</v>
      </c>
      <c r="K219" s="167">
        <f>480-6195-2655+2535+1420+1147+530+800</f>
        <v>-1938</v>
      </c>
      <c r="L219" s="173">
        <f aca="true" t="shared" si="38" ref="L219:L227">SUM(I219:K219)</f>
        <v>72059</v>
      </c>
    </row>
    <row r="220" spans="1:12" ht="12.75">
      <c r="A220" s="174" t="s">
        <v>40</v>
      </c>
      <c r="B220" s="175" t="s">
        <v>154</v>
      </c>
      <c r="C220" s="176">
        <v>0</v>
      </c>
      <c r="D220" s="176">
        <v>0</v>
      </c>
      <c r="E220" s="176">
        <v>0</v>
      </c>
      <c r="F220" s="176">
        <f aca="true" t="shared" si="39" ref="F220:F232">SUM(C220:E220)</f>
        <v>0</v>
      </c>
      <c r="G220" s="172" t="s">
        <v>155</v>
      </c>
      <c r="H220" s="172" t="s">
        <v>156</v>
      </c>
      <c r="I220" s="167">
        <v>22438</v>
      </c>
      <c r="J220" s="167">
        <f>655+644+267</f>
        <v>1566</v>
      </c>
      <c r="K220" s="167">
        <v>97</v>
      </c>
      <c r="L220" s="173">
        <f t="shared" si="38"/>
        <v>24101</v>
      </c>
    </row>
    <row r="221" spans="1:12" ht="12.75">
      <c r="A221" s="177" t="s">
        <v>157</v>
      </c>
      <c r="B221" s="166" t="s">
        <v>158</v>
      </c>
      <c r="C221" s="167">
        <v>0</v>
      </c>
      <c r="D221" s="167">
        <v>0</v>
      </c>
      <c r="E221" s="167">
        <v>0</v>
      </c>
      <c r="F221" s="176">
        <f t="shared" si="39"/>
        <v>0</v>
      </c>
      <c r="G221" s="172" t="s">
        <v>159</v>
      </c>
      <c r="H221" s="172" t="s">
        <v>160</v>
      </c>
      <c r="I221" s="167">
        <v>10489</v>
      </c>
      <c r="J221" s="167">
        <f>25+72+2809</f>
        <v>2906</v>
      </c>
      <c r="K221" s="167">
        <v>-570</v>
      </c>
      <c r="L221" s="173">
        <f t="shared" si="38"/>
        <v>12825</v>
      </c>
    </row>
    <row r="222" spans="1:12" ht="12.75">
      <c r="A222" s="177" t="s">
        <v>161</v>
      </c>
      <c r="B222" s="166" t="s">
        <v>162</v>
      </c>
      <c r="C222" s="167"/>
      <c r="D222" s="167"/>
      <c r="E222" s="167"/>
      <c r="F222" s="176">
        <f t="shared" si="39"/>
        <v>0</v>
      </c>
      <c r="G222" s="172" t="s">
        <v>163</v>
      </c>
      <c r="H222" s="172" t="s">
        <v>164</v>
      </c>
      <c r="I222" s="167">
        <f>SUM(I223:I227)</f>
        <v>3640</v>
      </c>
      <c r="J222" s="167"/>
      <c r="K222" s="167"/>
      <c r="L222" s="173">
        <f t="shared" si="38"/>
        <v>3640</v>
      </c>
    </row>
    <row r="223" spans="1:12" ht="12.75">
      <c r="A223" s="177" t="s">
        <v>165</v>
      </c>
      <c r="B223" s="166" t="s">
        <v>166</v>
      </c>
      <c r="C223" s="167"/>
      <c r="D223" s="167"/>
      <c r="E223" s="167"/>
      <c r="F223" s="176">
        <f t="shared" si="39"/>
        <v>0</v>
      </c>
      <c r="G223" s="174" t="s">
        <v>14</v>
      </c>
      <c r="H223" s="166" t="s">
        <v>167</v>
      </c>
      <c r="I223" s="167">
        <v>3640</v>
      </c>
      <c r="J223" s="167"/>
      <c r="K223" s="167"/>
      <c r="L223" s="173">
        <f t="shared" si="38"/>
        <v>3640</v>
      </c>
    </row>
    <row r="224" spans="1:12" ht="12.75">
      <c r="A224" s="178" t="s">
        <v>168</v>
      </c>
      <c r="B224" s="172" t="s">
        <v>169</v>
      </c>
      <c r="C224" s="167"/>
      <c r="D224" s="167"/>
      <c r="E224" s="167"/>
      <c r="F224" s="176">
        <f t="shared" si="39"/>
        <v>0</v>
      </c>
      <c r="G224" s="174" t="s">
        <v>40</v>
      </c>
      <c r="H224" s="166" t="s">
        <v>170</v>
      </c>
      <c r="I224" s="167"/>
      <c r="J224" s="167"/>
      <c r="K224" s="167"/>
      <c r="L224" s="173">
        <f t="shared" si="38"/>
        <v>0</v>
      </c>
    </row>
    <row r="225" spans="1:12" ht="12.75">
      <c r="A225" s="174" t="s">
        <v>14</v>
      </c>
      <c r="B225" s="175" t="s">
        <v>171</v>
      </c>
      <c r="C225" s="176">
        <f>SUM(C226:C228)</f>
        <v>76932</v>
      </c>
      <c r="D225" s="176">
        <f>SUM(D226:D228)</f>
        <v>9415</v>
      </c>
      <c r="E225" s="176">
        <f>SUM(E226:E228)</f>
        <v>-238</v>
      </c>
      <c r="F225" s="176">
        <f t="shared" si="39"/>
        <v>86109</v>
      </c>
      <c r="G225" s="174" t="s">
        <v>105</v>
      </c>
      <c r="H225" s="166" t="s">
        <v>172</v>
      </c>
      <c r="I225" s="167">
        <v>0</v>
      </c>
      <c r="J225" s="167">
        <v>0</v>
      </c>
      <c r="K225" s="167">
        <v>0</v>
      </c>
      <c r="L225" s="173">
        <f t="shared" si="38"/>
        <v>0</v>
      </c>
    </row>
    <row r="226" spans="1:12" ht="12.75">
      <c r="A226" s="174" t="s">
        <v>173</v>
      </c>
      <c r="B226" s="166" t="s">
        <v>174</v>
      </c>
      <c r="C226" s="167">
        <v>76639</v>
      </c>
      <c r="D226" s="167"/>
      <c r="E226" s="167"/>
      <c r="F226" s="176">
        <f t="shared" si="39"/>
        <v>76639</v>
      </c>
      <c r="G226" s="174" t="s">
        <v>107</v>
      </c>
      <c r="H226" s="166" t="s">
        <v>175</v>
      </c>
      <c r="I226" s="167">
        <v>0</v>
      </c>
      <c r="J226" s="167">
        <v>0</v>
      </c>
      <c r="K226" s="167">
        <v>0</v>
      </c>
      <c r="L226" s="173">
        <f t="shared" si="38"/>
        <v>0</v>
      </c>
    </row>
    <row r="227" spans="1:12" ht="12.75">
      <c r="A227" s="174" t="s">
        <v>176</v>
      </c>
      <c r="B227" s="166" t="s">
        <v>177</v>
      </c>
      <c r="C227" s="167">
        <v>0</v>
      </c>
      <c r="D227" s="167">
        <f>2699+2654+4062</f>
        <v>9415</v>
      </c>
      <c r="E227" s="167">
        <f>-684+446</f>
        <v>-238</v>
      </c>
      <c r="F227" s="176">
        <f t="shared" si="39"/>
        <v>9177</v>
      </c>
      <c r="G227" s="174" t="s">
        <v>117</v>
      </c>
      <c r="H227" s="166" t="s">
        <v>178</v>
      </c>
      <c r="I227" s="167">
        <v>0</v>
      </c>
      <c r="J227" s="167">
        <v>0</v>
      </c>
      <c r="K227" s="167">
        <v>0</v>
      </c>
      <c r="L227" s="173">
        <f t="shared" si="38"/>
        <v>0</v>
      </c>
    </row>
    <row r="228" spans="1:12" ht="12.75">
      <c r="A228" s="174" t="s">
        <v>179</v>
      </c>
      <c r="B228" s="166" t="s">
        <v>180</v>
      </c>
      <c r="C228" s="167">
        <v>293</v>
      </c>
      <c r="D228" s="167"/>
      <c r="E228" s="167"/>
      <c r="F228" s="176">
        <f t="shared" si="39"/>
        <v>293</v>
      </c>
      <c r="G228" s="174"/>
      <c r="H228" s="166"/>
      <c r="I228" s="167"/>
      <c r="J228" s="167"/>
      <c r="K228" s="167"/>
      <c r="L228" s="167"/>
    </row>
    <row r="229" spans="1:12" ht="12.75">
      <c r="A229" s="172" t="s">
        <v>181</v>
      </c>
      <c r="B229" s="172" t="s">
        <v>182</v>
      </c>
      <c r="C229" s="167">
        <v>9577</v>
      </c>
      <c r="D229" s="167">
        <f>25-2297</f>
        <v>-2272</v>
      </c>
      <c r="E229" s="167">
        <v>546</v>
      </c>
      <c r="F229" s="176">
        <f t="shared" si="39"/>
        <v>7851</v>
      </c>
      <c r="G229" s="172" t="s">
        <v>183</v>
      </c>
      <c r="H229" s="172" t="s">
        <v>184</v>
      </c>
      <c r="I229" s="167"/>
      <c r="J229" s="167"/>
      <c r="K229" s="167"/>
      <c r="L229" s="167"/>
    </row>
    <row r="230" spans="1:12" ht="12.75">
      <c r="A230" s="172" t="s">
        <v>185</v>
      </c>
      <c r="B230" s="172" t="s">
        <v>186</v>
      </c>
      <c r="C230" s="167"/>
      <c r="D230" s="167">
        <v>72</v>
      </c>
      <c r="E230" s="167"/>
      <c r="F230" s="176">
        <f t="shared" si="39"/>
        <v>72</v>
      </c>
      <c r="G230" s="172" t="s">
        <v>187</v>
      </c>
      <c r="H230" s="172" t="s">
        <v>188</v>
      </c>
      <c r="I230" s="167"/>
      <c r="J230" s="167"/>
      <c r="K230" s="167"/>
      <c r="L230" s="167"/>
    </row>
    <row r="231" spans="1:12" ht="12.75">
      <c r="A231" s="174"/>
      <c r="B231" s="166" t="s">
        <v>189</v>
      </c>
      <c r="C231" s="167"/>
      <c r="D231" s="167"/>
      <c r="E231" s="167"/>
      <c r="F231" s="176">
        <f t="shared" si="39"/>
        <v>0</v>
      </c>
      <c r="G231" s="174" t="s">
        <v>14</v>
      </c>
      <c r="H231" s="166" t="s">
        <v>190</v>
      </c>
      <c r="I231" s="167"/>
      <c r="J231" s="167"/>
      <c r="K231" s="167"/>
      <c r="L231" s="167"/>
    </row>
    <row r="232" spans="1:12" ht="12.75">
      <c r="A232" s="172" t="s">
        <v>191</v>
      </c>
      <c r="B232" s="172" t="s">
        <v>192</v>
      </c>
      <c r="C232" s="176">
        <v>0</v>
      </c>
      <c r="D232" s="176">
        <v>0</v>
      </c>
      <c r="E232" s="176">
        <v>0</v>
      </c>
      <c r="F232" s="176">
        <f t="shared" si="39"/>
        <v>0</v>
      </c>
      <c r="G232" s="174" t="s">
        <v>40</v>
      </c>
      <c r="H232" s="166" t="s">
        <v>193</v>
      </c>
      <c r="I232" s="167"/>
      <c r="J232" s="167"/>
      <c r="K232" s="167"/>
      <c r="L232" s="167"/>
    </row>
    <row r="233" spans="1:12" ht="12.75">
      <c r="A233" s="172" t="s">
        <v>187</v>
      </c>
      <c r="B233" s="172" t="s">
        <v>194</v>
      </c>
      <c r="C233" s="167"/>
      <c r="D233" s="167"/>
      <c r="E233" s="167"/>
      <c r="F233" s="167"/>
      <c r="G233" s="174"/>
      <c r="H233" s="166"/>
      <c r="I233" s="167"/>
      <c r="J233" s="167"/>
      <c r="K233" s="167"/>
      <c r="L233" s="167"/>
    </row>
    <row r="234" spans="1:12" ht="12.75">
      <c r="A234" s="174"/>
      <c r="B234" s="175" t="s">
        <v>195</v>
      </c>
      <c r="C234" s="176">
        <f>SUM(C219+C220+C225+C229+C230+C232+C233)</f>
        <v>95441</v>
      </c>
      <c r="D234" s="176">
        <f>SUM(D219+D220+D225+D229+D230+D232+D233)</f>
        <v>4335</v>
      </c>
      <c r="E234" s="176">
        <f>SUM(E219+E220+E225+E229+E230+E232+E233)</f>
        <v>-2052</v>
      </c>
      <c r="F234" s="185">
        <f>SUM(C234:E234)</f>
        <v>97724</v>
      </c>
      <c r="G234" s="174"/>
      <c r="H234" s="175" t="s">
        <v>196</v>
      </c>
      <c r="I234" s="176">
        <f>SUM(I219+I220+I221+I222)</f>
        <v>105524</v>
      </c>
      <c r="J234" s="176">
        <f>SUM(J219+J220+J221+J222)</f>
        <v>9512</v>
      </c>
      <c r="K234" s="176">
        <f>SUM(K219+K220+K221+K222)</f>
        <v>-2411</v>
      </c>
      <c r="L234" s="176">
        <f>SUM(L219+L220+L221+L222)</f>
        <v>112625</v>
      </c>
    </row>
    <row r="235" spans="1:12" ht="12.75">
      <c r="A235" s="174"/>
      <c r="B235" s="179" t="s">
        <v>197</v>
      </c>
      <c r="C235" s="180">
        <f>I236-C234</f>
        <v>30938</v>
      </c>
      <c r="D235" s="180">
        <f>J236-D234</f>
        <v>2297</v>
      </c>
      <c r="E235" s="180">
        <f>K236-E234</f>
        <v>-359</v>
      </c>
      <c r="F235" s="180">
        <f>L236-F234</f>
        <v>32876</v>
      </c>
      <c r="G235" s="174"/>
      <c r="H235" s="166" t="s">
        <v>198</v>
      </c>
      <c r="I235" s="180">
        <f>21140-285</f>
        <v>20855</v>
      </c>
      <c r="J235" s="180">
        <v>-2880</v>
      </c>
      <c r="K235" s="180"/>
      <c r="L235" s="167">
        <f>SUM(I235:K235)</f>
        <v>17975</v>
      </c>
    </row>
    <row r="236" spans="1:12" ht="12.75">
      <c r="A236" s="174"/>
      <c r="B236" s="172" t="s">
        <v>199</v>
      </c>
      <c r="C236" s="167"/>
      <c r="D236" s="167"/>
      <c r="E236" s="167"/>
      <c r="F236" s="167"/>
      <c r="G236" s="174"/>
      <c r="H236" s="175" t="s">
        <v>200</v>
      </c>
      <c r="I236" s="176">
        <f>SUM(I234:I235)</f>
        <v>126379</v>
      </c>
      <c r="J236" s="176">
        <f>SUM(J234:J235)</f>
        <v>6632</v>
      </c>
      <c r="K236" s="176">
        <f>SUM(K234:K235)</f>
        <v>-2411</v>
      </c>
      <c r="L236" s="176">
        <f>SUM(L234:L235)</f>
        <v>130600</v>
      </c>
    </row>
    <row r="237" spans="1:12" ht="12.75">
      <c r="A237" s="172" t="s">
        <v>201</v>
      </c>
      <c r="B237" s="172" t="s">
        <v>202</v>
      </c>
      <c r="C237" s="167"/>
      <c r="D237" s="167"/>
      <c r="E237" s="167"/>
      <c r="F237" s="167"/>
      <c r="G237" s="174"/>
      <c r="H237" s="179" t="s">
        <v>203</v>
      </c>
      <c r="I237" s="167"/>
      <c r="J237" s="167"/>
      <c r="K237" s="167"/>
      <c r="L237" s="167"/>
    </row>
    <row r="238" spans="1:12" ht="12.75">
      <c r="A238" s="172" t="s">
        <v>204</v>
      </c>
      <c r="B238" s="172" t="s">
        <v>205</v>
      </c>
      <c r="C238" s="167"/>
      <c r="D238" s="167"/>
      <c r="E238" s="167"/>
      <c r="F238" s="167"/>
      <c r="G238" s="174"/>
      <c r="H238" s="172" t="s">
        <v>206</v>
      </c>
      <c r="I238" s="167"/>
      <c r="J238" s="167"/>
      <c r="K238" s="167"/>
      <c r="L238" s="167"/>
    </row>
    <row r="239" spans="1:12" ht="12.75">
      <c r="A239" s="172" t="s">
        <v>207</v>
      </c>
      <c r="B239" s="172" t="s">
        <v>208</v>
      </c>
      <c r="C239" s="167"/>
      <c r="D239" s="167"/>
      <c r="E239" s="167"/>
      <c r="F239" s="167"/>
      <c r="G239" s="172" t="s">
        <v>159</v>
      </c>
      <c r="H239" s="172" t="s">
        <v>209</v>
      </c>
      <c r="I239" s="167"/>
      <c r="J239" s="167"/>
      <c r="K239" s="167"/>
      <c r="L239" s="167"/>
    </row>
    <row r="240" spans="1:12" ht="12.75">
      <c r="A240" s="172" t="s">
        <v>210</v>
      </c>
      <c r="B240" s="172" t="s">
        <v>211</v>
      </c>
      <c r="C240" s="167"/>
      <c r="D240" s="167"/>
      <c r="E240" s="167">
        <v>684</v>
      </c>
      <c r="F240" s="167">
        <f>SUM(C240:E240)</f>
        <v>684</v>
      </c>
      <c r="G240" s="172" t="s">
        <v>163</v>
      </c>
      <c r="H240" s="172" t="s">
        <v>164</v>
      </c>
      <c r="I240" s="167"/>
      <c r="J240" s="167"/>
      <c r="K240" s="167"/>
      <c r="L240" s="167"/>
    </row>
    <row r="241" spans="1:12" ht="12.75">
      <c r="A241" s="172" t="s">
        <v>159</v>
      </c>
      <c r="B241" s="172" t="s">
        <v>212</v>
      </c>
      <c r="C241" s="167"/>
      <c r="D241" s="167"/>
      <c r="E241" s="167"/>
      <c r="F241" s="167"/>
      <c r="G241" s="174" t="s">
        <v>14</v>
      </c>
      <c r="H241" s="166" t="s">
        <v>167</v>
      </c>
      <c r="I241" s="167"/>
      <c r="J241" s="167"/>
      <c r="K241" s="167"/>
      <c r="L241" s="167"/>
    </row>
    <row r="242" spans="1:12" ht="12.75">
      <c r="A242" s="174" t="s">
        <v>14</v>
      </c>
      <c r="B242" s="181" t="s">
        <v>213</v>
      </c>
      <c r="C242" s="167"/>
      <c r="D242" s="167"/>
      <c r="E242" s="167"/>
      <c r="F242" s="167"/>
      <c r="G242" s="174" t="s">
        <v>40</v>
      </c>
      <c r="H242" s="166" t="s">
        <v>214</v>
      </c>
      <c r="I242" s="167"/>
      <c r="J242" s="167"/>
      <c r="K242" s="167"/>
      <c r="L242" s="167"/>
    </row>
    <row r="243" spans="1:12" ht="12.75">
      <c r="A243" s="174" t="s">
        <v>40</v>
      </c>
      <c r="B243" s="181" t="s">
        <v>215</v>
      </c>
      <c r="C243" s="167"/>
      <c r="D243" s="167"/>
      <c r="E243" s="167"/>
      <c r="F243" s="167"/>
      <c r="G243" s="172" t="s">
        <v>216</v>
      </c>
      <c r="H243" s="172" t="s">
        <v>217</v>
      </c>
      <c r="I243" s="167"/>
      <c r="J243" s="167">
        <f>SUM(J244:J246)</f>
        <v>0</v>
      </c>
      <c r="K243" s="167">
        <f>SUM(K244:K246)</f>
        <v>684</v>
      </c>
      <c r="L243" s="167">
        <f>SUM(I243:K243)</f>
        <v>684</v>
      </c>
    </row>
    <row r="244" spans="1:12" ht="12.75">
      <c r="A244" s="174" t="s">
        <v>105</v>
      </c>
      <c r="B244" s="181" t="s">
        <v>218</v>
      </c>
      <c r="C244" s="167"/>
      <c r="D244" s="167"/>
      <c r="E244" s="167"/>
      <c r="F244" s="167"/>
      <c r="G244" s="174" t="s">
        <v>14</v>
      </c>
      <c r="H244" s="181" t="s">
        <v>91</v>
      </c>
      <c r="I244" s="167"/>
      <c r="J244" s="167"/>
      <c r="K244" s="167"/>
      <c r="L244" s="167">
        <f>SUM(I244:K244)</f>
        <v>0</v>
      </c>
    </row>
    <row r="245" spans="1:12" ht="12.75">
      <c r="A245" s="172" t="s">
        <v>219</v>
      </c>
      <c r="B245" s="172" t="s">
        <v>220</v>
      </c>
      <c r="C245" s="167"/>
      <c r="D245" s="167"/>
      <c r="E245" s="167"/>
      <c r="F245" s="167"/>
      <c r="G245" s="174" t="s">
        <v>40</v>
      </c>
      <c r="H245" s="181" t="s">
        <v>90</v>
      </c>
      <c r="I245" s="167"/>
      <c r="J245" s="167"/>
      <c r="K245" s="167">
        <f>547+137</f>
        <v>684</v>
      </c>
      <c r="L245" s="167">
        <f>SUM(I245:K245)</f>
        <v>684</v>
      </c>
    </row>
    <row r="246" spans="1:12" ht="12.75">
      <c r="A246" s="172" t="s">
        <v>221</v>
      </c>
      <c r="B246" s="172" t="s">
        <v>222</v>
      </c>
      <c r="C246" s="167"/>
      <c r="D246" s="167"/>
      <c r="E246" s="167"/>
      <c r="F246" s="167"/>
      <c r="G246" s="174" t="s">
        <v>105</v>
      </c>
      <c r="H246" s="166" t="s">
        <v>223</v>
      </c>
      <c r="I246" s="167"/>
      <c r="J246" s="167"/>
      <c r="K246" s="167"/>
      <c r="L246" s="167"/>
    </row>
    <row r="247" spans="1:12" ht="12.75">
      <c r="A247" s="172" t="s">
        <v>216</v>
      </c>
      <c r="B247" s="172" t="s">
        <v>224</v>
      </c>
      <c r="C247" s="167">
        <v>0</v>
      </c>
      <c r="D247" s="167">
        <v>0</v>
      </c>
      <c r="E247" s="167">
        <v>0</v>
      </c>
      <c r="F247" s="167"/>
      <c r="G247" s="172" t="s">
        <v>183</v>
      </c>
      <c r="H247" s="172" t="s">
        <v>225</v>
      </c>
      <c r="I247" s="167"/>
      <c r="J247" s="167"/>
      <c r="K247" s="167"/>
      <c r="L247" s="167"/>
    </row>
    <row r="248" spans="1:12" ht="12.75">
      <c r="A248" s="172" t="s">
        <v>183</v>
      </c>
      <c r="B248" s="172" t="s">
        <v>225</v>
      </c>
      <c r="C248" s="167">
        <v>0</v>
      </c>
      <c r="D248" s="167">
        <v>0</v>
      </c>
      <c r="E248" s="167">
        <v>0</v>
      </c>
      <c r="F248" s="167"/>
      <c r="G248" s="172" t="s">
        <v>187</v>
      </c>
      <c r="H248" s="172" t="s">
        <v>188</v>
      </c>
      <c r="I248" s="167"/>
      <c r="J248" s="167"/>
      <c r="K248" s="167"/>
      <c r="L248" s="167"/>
    </row>
    <row r="249" spans="1:12" ht="12.75">
      <c r="A249" s="172" t="s">
        <v>187</v>
      </c>
      <c r="B249" s="172" t="s">
        <v>194</v>
      </c>
      <c r="C249" s="167">
        <v>0</v>
      </c>
      <c r="D249" s="167">
        <v>0</v>
      </c>
      <c r="E249" s="167">
        <v>0</v>
      </c>
      <c r="F249" s="167"/>
      <c r="G249" s="174" t="s">
        <v>14</v>
      </c>
      <c r="H249" s="166" t="s">
        <v>190</v>
      </c>
      <c r="I249" s="167"/>
      <c r="J249" s="167"/>
      <c r="K249" s="167"/>
      <c r="L249" s="167"/>
    </row>
    <row r="250" spans="1:12" ht="12.75">
      <c r="A250" s="174"/>
      <c r="B250" s="175" t="s">
        <v>226</v>
      </c>
      <c r="C250" s="176">
        <f>SUM(C237:C241,C245:C246,C247,C249)</f>
        <v>0</v>
      </c>
      <c r="D250" s="176">
        <f>SUM(D237:D241,D245:D246,D247,D249)</f>
        <v>0</v>
      </c>
      <c r="E250" s="176">
        <f>SUM(E237:E241,E245:E246,E247,E249)</f>
        <v>684</v>
      </c>
      <c r="F250" s="176">
        <f>SUM(F237:F241,F245:F246,F247,F249)</f>
        <v>684</v>
      </c>
      <c r="G250" s="174" t="s">
        <v>238</v>
      </c>
      <c r="H250" s="175" t="s">
        <v>227</v>
      </c>
      <c r="I250" s="176">
        <f>SUM(I239:I240,I243,I247:I248)</f>
        <v>0</v>
      </c>
      <c r="J250" s="176">
        <f>SUM(J239:J240,J243,J247:J248)</f>
        <v>0</v>
      </c>
      <c r="K250" s="176">
        <f>SUM(K239:K240,K243,K247:K248)</f>
        <v>684</v>
      </c>
      <c r="L250" s="176">
        <f>SUM(L239:L240,L243,L247:L248)</f>
        <v>684</v>
      </c>
    </row>
    <row r="251" spans="1:12" ht="12.75">
      <c r="A251" s="174"/>
      <c r="B251" s="179" t="s">
        <v>230</v>
      </c>
      <c r="C251" s="180"/>
      <c r="D251" s="180"/>
      <c r="E251" s="180"/>
      <c r="F251" s="184"/>
      <c r="G251" s="174" t="s">
        <v>239</v>
      </c>
      <c r="H251" s="166" t="s">
        <v>231</v>
      </c>
      <c r="I251" s="167">
        <f>C250-I250</f>
        <v>0</v>
      </c>
      <c r="J251" s="167">
        <f>D250-J250</f>
        <v>0</v>
      </c>
      <c r="K251" s="167">
        <f>E250-K250</f>
        <v>0</v>
      </c>
      <c r="L251" s="167"/>
    </row>
    <row r="252" spans="1:12" ht="12.75">
      <c r="A252" s="174"/>
      <c r="B252" s="182" t="s">
        <v>232</v>
      </c>
      <c r="C252" s="183">
        <f>SUM(C251+C235)</f>
        <v>30938</v>
      </c>
      <c r="D252" s="183">
        <f>SUM(D251+D235)</f>
        <v>2297</v>
      </c>
      <c r="E252" s="183">
        <f>SUM(E251+E235)</f>
        <v>-359</v>
      </c>
      <c r="F252" s="183">
        <f>SUM(F251+F235)</f>
        <v>32876</v>
      </c>
      <c r="G252" s="174" t="s">
        <v>240</v>
      </c>
      <c r="H252" s="182" t="s">
        <v>233</v>
      </c>
      <c r="I252" s="167"/>
      <c r="J252" s="167"/>
      <c r="K252" s="167"/>
      <c r="L252" s="167"/>
    </row>
    <row r="253" spans="1:12" ht="12.75">
      <c r="A253" s="174"/>
      <c r="B253" s="175" t="s">
        <v>254</v>
      </c>
      <c r="C253" s="176">
        <f>SUM(C250+C234+C252)</f>
        <v>126379</v>
      </c>
      <c r="D253" s="176">
        <f>SUM(D250+D234+D252)</f>
        <v>6632</v>
      </c>
      <c r="E253" s="176">
        <f>SUM(E250+E234+E252)</f>
        <v>-1727</v>
      </c>
      <c r="F253" s="176">
        <f>SUM(F250+F234+F252)</f>
        <v>131284</v>
      </c>
      <c r="G253" s="174" t="s">
        <v>242</v>
      </c>
      <c r="H253" s="175" t="s">
        <v>254</v>
      </c>
      <c r="I253" s="176">
        <f>SUM(I236,I250,I252)</f>
        <v>126379</v>
      </c>
      <c r="J253" s="176">
        <f>SUM(J236,J250,J252)</f>
        <v>6632</v>
      </c>
      <c r="K253" s="176">
        <f>SUM(K236,K250,K252)</f>
        <v>-1727</v>
      </c>
      <c r="L253" s="176">
        <f>SUM(L236,L250,L252)</f>
        <v>131284</v>
      </c>
    </row>
    <row r="254" spans="1:12" ht="12.75" customHeight="1">
      <c r="A254" s="164" t="s">
        <v>255</v>
      </c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</row>
    <row r="255" spans="1:12" ht="12.75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</row>
    <row r="256" spans="1:12" ht="12.75">
      <c r="A256" s="165" t="s">
        <v>244</v>
      </c>
      <c r="B256" s="166"/>
      <c r="C256" s="167"/>
      <c r="D256" s="167"/>
      <c r="E256" s="167"/>
      <c r="F256" s="167"/>
      <c r="G256" s="166"/>
      <c r="H256" s="166"/>
      <c r="I256" s="168" t="s">
        <v>143</v>
      </c>
      <c r="J256" s="168"/>
      <c r="K256" s="168"/>
      <c r="L256" s="168"/>
    </row>
    <row r="257" spans="1:12" ht="12.75" customHeight="1">
      <c r="A257" s="169" t="s">
        <v>144</v>
      </c>
      <c r="B257" s="170" t="s">
        <v>145</v>
      </c>
      <c r="C257" s="171" t="s">
        <v>146</v>
      </c>
      <c r="D257" s="171" t="s">
        <v>147</v>
      </c>
      <c r="E257" s="171" t="s">
        <v>148</v>
      </c>
      <c r="F257" s="171" t="s">
        <v>149</v>
      </c>
      <c r="G257" s="169" t="s">
        <v>144</v>
      </c>
      <c r="H257" s="170" t="s">
        <v>150</v>
      </c>
      <c r="I257" s="171" t="s">
        <v>146</v>
      </c>
      <c r="J257" s="171" t="s">
        <v>147</v>
      </c>
      <c r="K257" s="171" t="s">
        <v>148</v>
      </c>
      <c r="L257" s="171" t="s">
        <v>149</v>
      </c>
    </row>
    <row r="258" spans="1:12" ht="12.75" customHeight="1">
      <c r="A258" s="169"/>
      <c r="B258" s="170"/>
      <c r="C258" s="171"/>
      <c r="D258" s="171"/>
      <c r="E258" s="171"/>
      <c r="F258" s="171"/>
      <c r="G258" s="169"/>
      <c r="H258" s="170"/>
      <c r="I258" s="171"/>
      <c r="J258" s="171"/>
      <c r="K258" s="171"/>
      <c r="L258" s="171"/>
    </row>
    <row r="259" spans="1:12" ht="12.75" customHeight="1">
      <c r="A259" s="169"/>
      <c r="B259" s="170"/>
      <c r="C259" s="171"/>
      <c r="D259" s="171"/>
      <c r="E259" s="171"/>
      <c r="F259" s="171"/>
      <c r="G259" s="169"/>
      <c r="H259" s="170"/>
      <c r="I259" s="171"/>
      <c r="J259" s="171"/>
      <c r="K259" s="171"/>
      <c r="L259" s="171"/>
    </row>
    <row r="260" spans="1:12" ht="12.75">
      <c r="A260" s="172" t="s">
        <v>12</v>
      </c>
      <c r="B260" s="172" t="s">
        <v>151</v>
      </c>
      <c r="C260" s="173"/>
      <c r="D260" s="173"/>
      <c r="E260" s="173"/>
      <c r="F260" s="173"/>
      <c r="G260" s="172"/>
      <c r="H260" s="172" t="s">
        <v>152</v>
      </c>
      <c r="I260" s="173">
        <f>SUM(I261:I263,I264,I271,I272)</f>
        <v>34578</v>
      </c>
      <c r="J260" s="173">
        <f>SUM(J261:J263,J264,J271,J272)</f>
        <v>5244</v>
      </c>
      <c r="K260" s="173">
        <f>SUM(K261:K263,K264,K271,K272)</f>
        <v>-5103</v>
      </c>
      <c r="L260" s="173">
        <f>SUM(I260:K260)</f>
        <v>34719</v>
      </c>
    </row>
    <row r="261" spans="1:12" ht="12.75">
      <c r="A261" s="174" t="s">
        <v>14</v>
      </c>
      <c r="B261" s="175" t="s">
        <v>153</v>
      </c>
      <c r="C261" s="176">
        <v>19693</v>
      </c>
      <c r="D261" s="176"/>
      <c r="E261" s="176"/>
      <c r="F261" s="176">
        <f>SUM(C261:E261)</f>
        <v>19693</v>
      </c>
      <c r="G261" s="172" t="s">
        <v>12</v>
      </c>
      <c r="H261" s="172" t="s">
        <v>47</v>
      </c>
      <c r="I261" s="167">
        <f>18500</f>
        <v>18500</v>
      </c>
      <c r="J261" s="167">
        <f>2136+420+283+1134</f>
        <v>3973</v>
      </c>
      <c r="K261" s="167">
        <f>-1633+218+91+350+250+250-359</f>
        <v>-833</v>
      </c>
      <c r="L261" s="173">
        <f aca="true" t="shared" si="40" ref="L261:L270">SUM(I261:K261)</f>
        <v>21640</v>
      </c>
    </row>
    <row r="262" spans="1:12" ht="12.75">
      <c r="A262" s="174" t="s">
        <v>40</v>
      </c>
      <c r="B262" s="175" t="s">
        <v>154</v>
      </c>
      <c r="C262" s="176">
        <v>0</v>
      </c>
      <c r="D262" s="176"/>
      <c r="E262" s="176"/>
      <c r="F262" s="176">
        <f aca="true" t="shared" si="41" ref="F262:F275">SUM(C262:E262)</f>
        <v>0</v>
      </c>
      <c r="G262" s="172" t="s">
        <v>155</v>
      </c>
      <c r="H262" s="172" t="s">
        <v>156</v>
      </c>
      <c r="I262" s="167">
        <v>6148</v>
      </c>
      <c r="J262" s="167">
        <f>683+135+340+64+7+42</f>
        <v>1271</v>
      </c>
      <c r="K262" s="167">
        <f>-3700-570</f>
        <v>-4270</v>
      </c>
      <c r="L262" s="173">
        <f t="shared" si="40"/>
        <v>3149</v>
      </c>
    </row>
    <row r="263" spans="1:12" ht="12.75">
      <c r="A263" s="177" t="s">
        <v>157</v>
      </c>
      <c r="B263" s="166" t="s">
        <v>158</v>
      </c>
      <c r="C263" s="167">
        <v>0</v>
      </c>
      <c r="D263" s="167">
        <v>0</v>
      </c>
      <c r="E263" s="167">
        <v>0</v>
      </c>
      <c r="F263" s="176">
        <f t="shared" si="41"/>
        <v>0</v>
      </c>
      <c r="G263" s="172" t="s">
        <v>159</v>
      </c>
      <c r="H263" s="172" t="s">
        <v>160</v>
      </c>
      <c r="I263" s="167">
        <v>9930</v>
      </c>
      <c r="J263" s="167"/>
      <c r="K263" s="167"/>
      <c r="L263" s="173">
        <f t="shared" si="40"/>
        <v>9930</v>
      </c>
    </row>
    <row r="264" spans="1:12" ht="12.75">
      <c r="A264" s="177" t="s">
        <v>161</v>
      </c>
      <c r="B264" s="166" t="s">
        <v>162</v>
      </c>
      <c r="C264" s="167"/>
      <c r="D264" s="167"/>
      <c r="E264" s="167"/>
      <c r="F264" s="176">
        <f t="shared" si="41"/>
        <v>0</v>
      </c>
      <c r="G264" s="172" t="s">
        <v>163</v>
      </c>
      <c r="H264" s="172" t="s">
        <v>164</v>
      </c>
      <c r="I264" s="167"/>
      <c r="J264" s="167"/>
      <c r="K264" s="167"/>
      <c r="L264" s="173">
        <f t="shared" si="40"/>
        <v>0</v>
      </c>
    </row>
    <row r="265" spans="1:12" ht="12.75">
      <c r="A265" s="177" t="s">
        <v>165</v>
      </c>
      <c r="B265" s="166" t="s">
        <v>166</v>
      </c>
      <c r="C265" s="167"/>
      <c r="D265" s="167"/>
      <c r="E265" s="167"/>
      <c r="F265" s="176">
        <f t="shared" si="41"/>
        <v>0</v>
      </c>
      <c r="G265" s="174" t="s">
        <v>14</v>
      </c>
      <c r="H265" s="166" t="s">
        <v>167</v>
      </c>
      <c r="I265" s="167"/>
      <c r="J265" s="167"/>
      <c r="K265" s="167"/>
      <c r="L265" s="173">
        <f t="shared" si="40"/>
        <v>0</v>
      </c>
    </row>
    <row r="266" spans="1:12" ht="12.75">
      <c r="A266" s="178" t="s">
        <v>168</v>
      </c>
      <c r="B266" s="172" t="s">
        <v>169</v>
      </c>
      <c r="C266" s="167"/>
      <c r="D266" s="167"/>
      <c r="E266" s="167"/>
      <c r="F266" s="176">
        <f t="shared" si="41"/>
        <v>0</v>
      </c>
      <c r="G266" s="174" t="s">
        <v>40</v>
      </c>
      <c r="H266" s="166" t="s">
        <v>170</v>
      </c>
      <c r="I266" s="167"/>
      <c r="J266" s="167"/>
      <c r="K266" s="167"/>
      <c r="L266" s="173">
        <f t="shared" si="40"/>
        <v>0</v>
      </c>
    </row>
    <row r="267" spans="1:12" ht="12.75">
      <c r="A267" s="174" t="s">
        <v>14</v>
      </c>
      <c r="B267" s="175" t="s">
        <v>171</v>
      </c>
      <c r="C267" s="176">
        <f>SUM(C268:C270)</f>
        <v>23539</v>
      </c>
      <c r="D267" s="176">
        <f>SUM(D268:D270)</f>
        <v>3406</v>
      </c>
      <c r="E267" s="176">
        <f>SUM(E268:E270)</f>
        <v>203</v>
      </c>
      <c r="F267" s="176">
        <f t="shared" si="41"/>
        <v>27148</v>
      </c>
      <c r="G267" s="174" t="s">
        <v>105</v>
      </c>
      <c r="H267" s="166" t="s">
        <v>172</v>
      </c>
      <c r="I267" s="167">
        <v>0</v>
      </c>
      <c r="J267" s="167">
        <v>0</v>
      </c>
      <c r="K267" s="167">
        <v>0</v>
      </c>
      <c r="L267" s="173">
        <f t="shared" si="40"/>
        <v>0</v>
      </c>
    </row>
    <row r="268" spans="1:12" ht="12.75">
      <c r="A268" s="174" t="s">
        <v>173</v>
      </c>
      <c r="B268" s="166" t="s">
        <v>174</v>
      </c>
      <c r="C268" s="167">
        <v>23454</v>
      </c>
      <c r="D268" s="167">
        <v>-1838</v>
      </c>
      <c r="E268" s="167"/>
      <c r="F268" s="176">
        <f t="shared" si="41"/>
        <v>21616</v>
      </c>
      <c r="G268" s="174" t="s">
        <v>107</v>
      </c>
      <c r="H268" s="166" t="s">
        <v>175</v>
      </c>
      <c r="I268" s="167">
        <v>0</v>
      </c>
      <c r="J268" s="167">
        <v>0</v>
      </c>
      <c r="K268" s="167">
        <v>0</v>
      </c>
      <c r="L268" s="173">
        <f t="shared" si="40"/>
        <v>0</v>
      </c>
    </row>
    <row r="269" spans="1:12" ht="12.75">
      <c r="A269" s="174" t="s">
        <v>176</v>
      </c>
      <c r="B269" s="166" t="s">
        <v>177</v>
      </c>
      <c r="C269" s="167"/>
      <c r="D269" s="167">
        <f>555+2819+1870</f>
        <v>5244</v>
      </c>
      <c r="E269" s="167">
        <v>203</v>
      </c>
      <c r="F269" s="176">
        <f t="shared" si="41"/>
        <v>5447</v>
      </c>
      <c r="G269" s="174" t="s">
        <v>117</v>
      </c>
      <c r="H269" s="166" t="s">
        <v>178</v>
      </c>
      <c r="I269" s="167">
        <v>0</v>
      </c>
      <c r="J269" s="167">
        <v>0</v>
      </c>
      <c r="K269" s="167">
        <v>0</v>
      </c>
      <c r="L269" s="173">
        <f t="shared" si="40"/>
        <v>0</v>
      </c>
    </row>
    <row r="270" spans="1:12" ht="12.75">
      <c r="A270" s="174" t="s">
        <v>179</v>
      </c>
      <c r="B270" s="166" t="s">
        <v>180</v>
      </c>
      <c r="C270" s="167">
        <v>85</v>
      </c>
      <c r="D270" s="167"/>
      <c r="E270" s="167"/>
      <c r="F270" s="176">
        <f t="shared" si="41"/>
        <v>85</v>
      </c>
      <c r="G270" s="174"/>
      <c r="H270" s="166"/>
      <c r="I270" s="167"/>
      <c r="J270" s="167"/>
      <c r="K270" s="167"/>
      <c r="L270" s="173">
        <f t="shared" si="40"/>
        <v>0</v>
      </c>
    </row>
    <row r="271" spans="1:12" ht="12.75">
      <c r="A271" s="172" t="s">
        <v>181</v>
      </c>
      <c r="B271" s="172" t="s">
        <v>182</v>
      </c>
      <c r="C271" s="167">
        <v>11100</v>
      </c>
      <c r="D271" s="167"/>
      <c r="E271" s="167"/>
      <c r="F271" s="176">
        <f t="shared" si="41"/>
        <v>11100</v>
      </c>
      <c r="G271" s="172" t="s">
        <v>183</v>
      </c>
      <c r="H271" s="172" t="s">
        <v>184</v>
      </c>
      <c r="I271" s="167"/>
      <c r="J271" s="167"/>
      <c r="K271" s="167"/>
      <c r="L271" s="167"/>
    </row>
    <row r="272" spans="1:12" ht="12.75">
      <c r="A272" s="172" t="s">
        <v>185</v>
      </c>
      <c r="B272" s="172" t="s">
        <v>186</v>
      </c>
      <c r="C272" s="167"/>
      <c r="D272" s="167"/>
      <c r="E272" s="167"/>
      <c r="F272" s="176">
        <f t="shared" si="41"/>
        <v>0</v>
      </c>
      <c r="G272" s="172" t="s">
        <v>187</v>
      </c>
      <c r="H272" s="172" t="s">
        <v>188</v>
      </c>
      <c r="I272" s="167"/>
      <c r="J272" s="167"/>
      <c r="K272" s="167"/>
      <c r="L272" s="167"/>
    </row>
    <row r="273" spans="1:12" ht="12.75">
      <c r="A273" s="174"/>
      <c r="B273" s="166" t="s">
        <v>189</v>
      </c>
      <c r="C273" s="167"/>
      <c r="D273" s="167"/>
      <c r="E273" s="167"/>
      <c r="F273" s="176">
        <f t="shared" si="41"/>
        <v>0</v>
      </c>
      <c r="G273" s="174" t="s">
        <v>14</v>
      </c>
      <c r="H273" s="166" t="s">
        <v>190</v>
      </c>
      <c r="I273" s="167"/>
      <c r="J273" s="167"/>
      <c r="K273" s="167"/>
      <c r="L273" s="167"/>
    </row>
    <row r="274" spans="1:12" ht="12.75">
      <c r="A274" s="172" t="s">
        <v>191</v>
      </c>
      <c r="B274" s="172" t="s">
        <v>192</v>
      </c>
      <c r="C274" s="176">
        <v>0</v>
      </c>
      <c r="D274" s="176">
        <v>0</v>
      </c>
      <c r="E274" s="176">
        <v>0</v>
      </c>
      <c r="F274" s="176">
        <f t="shared" si="41"/>
        <v>0</v>
      </c>
      <c r="G274" s="174" t="s">
        <v>40</v>
      </c>
      <c r="H274" s="166" t="s">
        <v>193</v>
      </c>
      <c r="I274" s="167"/>
      <c r="J274" s="167"/>
      <c r="K274" s="167"/>
      <c r="L274" s="167"/>
    </row>
    <row r="275" spans="1:12" ht="12.75">
      <c r="A275" s="172" t="s">
        <v>187</v>
      </c>
      <c r="B275" s="172" t="s">
        <v>194</v>
      </c>
      <c r="C275" s="167"/>
      <c r="D275" s="167"/>
      <c r="E275" s="167"/>
      <c r="F275" s="176">
        <f t="shared" si="41"/>
        <v>0</v>
      </c>
      <c r="G275" s="174"/>
      <c r="H275" s="166"/>
      <c r="I275" s="167"/>
      <c r="J275" s="167"/>
      <c r="K275" s="167"/>
      <c r="L275" s="167"/>
    </row>
    <row r="276" spans="1:12" ht="12.75">
      <c r="A276" s="174"/>
      <c r="B276" s="175" t="s">
        <v>195</v>
      </c>
      <c r="C276" s="176">
        <f>SUM(C261+C262+C267+C271+C272+C274+C275)</f>
        <v>54332</v>
      </c>
      <c r="D276" s="176">
        <f>SUM(D261+D262+D267+D271+D272+D274+D275)</f>
        <v>3406</v>
      </c>
      <c r="E276" s="176">
        <f>SUM(E261+E262+E267+E271+E272+E274+E275)</f>
        <v>203</v>
      </c>
      <c r="F276" s="185">
        <f>SUM(C276:E276)</f>
        <v>57941</v>
      </c>
      <c r="G276" s="174"/>
      <c r="H276" s="175" t="s">
        <v>196</v>
      </c>
      <c r="I276" s="176">
        <f>SUM(I261:I263)</f>
        <v>34578</v>
      </c>
      <c r="J276" s="176">
        <f>SUM(J261:J263)</f>
        <v>5244</v>
      </c>
      <c r="K276" s="176">
        <f>SUM(K261:K263)</f>
        <v>-5103</v>
      </c>
      <c r="L276" s="176">
        <f>SUM(L261:L263)</f>
        <v>34719</v>
      </c>
    </row>
    <row r="277" spans="1:12" ht="12.75">
      <c r="A277" s="174"/>
      <c r="B277" s="179" t="s">
        <v>197</v>
      </c>
      <c r="C277" s="180">
        <f>I278-C276</f>
        <v>489</v>
      </c>
      <c r="D277" s="180">
        <f>J278-D276</f>
        <v>1838</v>
      </c>
      <c r="E277" s="180">
        <f>K278-E276</f>
        <v>-7106</v>
      </c>
      <c r="F277" s="180">
        <f>L278-F276</f>
        <v>-4779</v>
      </c>
      <c r="G277" s="174"/>
      <c r="H277" s="166" t="s">
        <v>198</v>
      </c>
      <c r="I277" s="180">
        <f>20528-285</f>
        <v>20243</v>
      </c>
      <c r="J277" s="180"/>
      <c r="K277" s="180">
        <v>-1800</v>
      </c>
      <c r="L277" s="167">
        <f>SUM(I277:K277)</f>
        <v>18443</v>
      </c>
    </row>
    <row r="278" spans="1:12" ht="12.75">
      <c r="A278" s="174"/>
      <c r="B278" s="172" t="s">
        <v>199</v>
      </c>
      <c r="C278" s="167"/>
      <c r="D278" s="167"/>
      <c r="E278" s="167"/>
      <c r="F278" s="167"/>
      <c r="G278" s="174"/>
      <c r="H278" s="175" t="s">
        <v>200</v>
      </c>
      <c r="I278" s="176">
        <f>SUM(I276:I277)</f>
        <v>54821</v>
      </c>
      <c r="J278" s="176">
        <f>SUM(J276:J277)</f>
        <v>5244</v>
      </c>
      <c r="K278" s="176">
        <f>SUM(K276:K277)</f>
        <v>-6903</v>
      </c>
      <c r="L278" s="176">
        <f>SUM(L276:L277)</f>
        <v>53162</v>
      </c>
    </row>
    <row r="279" spans="1:12" ht="12.75">
      <c r="A279" s="172" t="s">
        <v>201</v>
      </c>
      <c r="B279" s="172" t="s">
        <v>202</v>
      </c>
      <c r="C279" s="167"/>
      <c r="D279" s="167"/>
      <c r="E279" s="167"/>
      <c r="F279" s="167"/>
      <c r="G279" s="174"/>
      <c r="H279" s="179" t="s">
        <v>203</v>
      </c>
      <c r="I279" s="167"/>
      <c r="J279" s="167"/>
      <c r="K279" s="167"/>
      <c r="L279" s="167"/>
    </row>
    <row r="280" spans="1:12" ht="12.75">
      <c r="A280" s="172" t="s">
        <v>204</v>
      </c>
      <c r="B280" s="172" t="s">
        <v>205</v>
      </c>
      <c r="C280" s="167"/>
      <c r="D280" s="167"/>
      <c r="E280" s="167"/>
      <c r="F280" s="167"/>
      <c r="G280" s="174"/>
      <c r="H280" s="172" t="s">
        <v>206</v>
      </c>
      <c r="I280" s="167"/>
      <c r="J280" s="167"/>
      <c r="K280" s="167"/>
      <c r="L280" s="167"/>
    </row>
    <row r="281" spans="1:12" ht="12.75">
      <c r="A281" s="172" t="s">
        <v>207</v>
      </c>
      <c r="B281" s="172" t="s">
        <v>208</v>
      </c>
      <c r="C281" s="167"/>
      <c r="D281" s="167"/>
      <c r="E281" s="167"/>
      <c r="F281" s="167"/>
      <c r="G281" s="172" t="s">
        <v>159</v>
      </c>
      <c r="H281" s="172" t="s">
        <v>209</v>
      </c>
      <c r="I281" s="167"/>
      <c r="J281" s="167"/>
      <c r="K281" s="167"/>
      <c r="L281" s="167"/>
    </row>
    <row r="282" spans="1:12" ht="12.75">
      <c r="A282" s="172" t="s">
        <v>210</v>
      </c>
      <c r="B282" s="172" t="s">
        <v>211</v>
      </c>
      <c r="C282" s="167"/>
      <c r="D282" s="167"/>
      <c r="E282" s="167"/>
      <c r="F282" s="167"/>
      <c r="G282" s="172" t="s">
        <v>163</v>
      </c>
      <c r="H282" s="172" t="s">
        <v>164</v>
      </c>
      <c r="I282" s="167"/>
      <c r="J282" s="167"/>
      <c r="K282" s="167"/>
      <c r="L282" s="167"/>
    </row>
    <row r="283" spans="1:12" ht="12.75">
      <c r="A283" s="172" t="s">
        <v>159</v>
      </c>
      <c r="B283" s="172" t="s">
        <v>212</v>
      </c>
      <c r="C283" s="167"/>
      <c r="D283" s="167"/>
      <c r="E283" s="167"/>
      <c r="F283" s="167"/>
      <c r="G283" s="174" t="s">
        <v>14</v>
      </c>
      <c r="H283" s="166" t="s">
        <v>167</v>
      </c>
      <c r="I283" s="167"/>
      <c r="J283" s="167"/>
      <c r="K283" s="167"/>
      <c r="L283" s="167"/>
    </row>
    <row r="284" spans="1:12" ht="12.75">
      <c r="A284" s="174" t="s">
        <v>14</v>
      </c>
      <c r="B284" s="181" t="s">
        <v>213</v>
      </c>
      <c r="C284" s="167"/>
      <c r="D284" s="167"/>
      <c r="E284" s="167"/>
      <c r="F284" s="167"/>
      <c r="G284" s="174" t="s">
        <v>40</v>
      </c>
      <c r="H284" s="166" t="s">
        <v>214</v>
      </c>
      <c r="I284" s="167"/>
      <c r="J284" s="167"/>
      <c r="K284" s="167"/>
      <c r="L284" s="167"/>
    </row>
    <row r="285" spans="1:12" ht="12.75">
      <c r="A285" s="174" t="s">
        <v>40</v>
      </c>
      <c r="B285" s="181" t="s">
        <v>215</v>
      </c>
      <c r="C285" s="167"/>
      <c r="D285" s="167"/>
      <c r="E285" s="167"/>
      <c r="F285" s="167"/>
      <c r="G285" s="172" t="s">
        <v>216</v>
      </c>
      <c r="H285" s="172" t="s">
        <v>217</v>
      </c>
      <c r="I285" s="167"/>
      <c r="J285" s="167"/>
      <c r="K285" s="167"/>
      <c r="L285" s="167"/>
    </row>
    <row r="286" spans="1:12" ht="12.75">
      <c r="A286" s="174" t="s">
        <v>105</v>
      </c>
      <c r="B286" s="181" t="s">
        <v>218</v>
      </c>
      <c r="C286" s="167"/>
      <c r="D286" s="167"/>
      <c r="E286" s="167"/>
      <c r="F286" s="167"/>
      <c r="G286" s="174" t="s">
        <v>14</v>
      </c>
      <c r="H286" s="181" t="s">
        <v>91</v>
      </c>
      <c r="I286" s="167"/>
      <c r="J286" s="167"/>
      <c r="K286" s="167"/>
      <c r="L286" s="167"/>
    </row>
    <row r="287" spans="1:12" ht="12.75">
      <c r="A287" s="172" t="s">
        <v>219</v>
      </c>
      <c r="B287" s="172" t="s">
        <v>220</v>
      </c>
      <c r="C287" s="167"/>
      <c r="D287" s="167"/>
      <c r="E287" s="167"/>
      <c r="F287" s="167"/>
      <c r="G287" s="174" t="s">
        <v>40</v>
      </c>
      <c r="H287" s="181" t="s">
        <v>90</v>
      </c>
      <c r="I287" s="167"/>
      <c r="J287" s="167"/>
      <c r="K287" s="167"/>
      <c r="L287" s="167"/>
    </row>
    <row r="288" spans="1:12" ht="12.75">
      <c r="A288" s="172" t="s">
        <v>221</v>
      </c>
      <c r="B288" s="172" t="s">
        <v>222</v>
      </c>
      <c r="C288" s="167"/>
      <c r="D288" s="167"/>
      <c r="E288" s="167"/>
      <c r="F288" s="167"/>
      <c r="G288" s="174" t="s">
        <v>105</v>
      </c>
      <c r="H288" s="166" t="s">
        <v>223</v>
      </c>
      <c r="I288" s="167"/>
      <c r="J288" s="167"/>
      <c r="K288" s="167"/>
      <c r="L288" s="167"/>
    </row>
    <row r="289" spans="1:12" ht="12.75">
      <c r="A289" s="172" t="s">
        <v>216</v>
      </c>
      <c r="B289" s="172" t="s">
        <v>224</v>
      </c>
      <c r="C289" s="167">
        <v>0</v>
      </c>
      <c r="D289" s="167">
        <v>0</v>
      </c>
      <c r="E289" s="167">
        <v>0</v>
      </c>
      <c r="F289" s="167"/>
      <c r="G289" s="172" t="s">
        <v>183</v>
      </c>
      <c r="H289" s="172" t="s">
        <v>225</v>
      </c>
      <c r="I289" s="167"/>
      <c r="J289" s="167"/>
      <c r="K289" s="167"/>
      <c r="L289" s="167"/>
    </row>
    <row r="290" spans="1:12" ht="12.75">
      <c r="A290" s="172" t="s">
        <v>183</v>
      </c>
      <c r="B290" s="172" t="s">
        <v>225</v>
      </c>
      <c r="C290" s="167">
        <v>0</v>
      </c>
      <c r="D290" s="167">
        <v>0</v>
      </c>
      <c r="E290" s="167">
        <v>0</v>
      </c>
      <c r="F290" s="167"/>
      <c r="G290" s="172" t="s">
        <v>187</v>
      </c>
      <c r="H290" s="172" t="s">
        <v>188</v>
      </c>
      <c r="I290" s="167"/>
      <c r="J290" s="167"/>
      <c r="K290" s="167"/>
      <c r="L290" s="167"/>
    </row>
    <row r="291" spans="1:12" ht="12.75">
      <c r="A291" s="172" t="s">
        <v>187</v>
      </c>
      <c r="B291" s="172" t="s">
        <v>194</v>
      </c>
      <c r="C291" s="167">
        <v>0</v>
      </c>
      <c r="D291" s="167">
        <v>0</v>
      </c>
      <c r="E291" s="167">
        <v>0</v>
      </c>
      <c r="F291" s="167"/>
      <c r="G291" s="174" t="s">
        <v>14</v>
      </c>
      <c r="H291" s="166" t="s">
        <v>190</v>
      </c>
      <c r="I291" s="167"/>
      <c r="J291" s="167"/>
      <c r="K291" s="167"/>
      <c r="L291" s="167"/>
    </row>
    <row r="292" spans="1:12" ht="12.75">
      <c r="A292" s="174"/>
      <c r="B292" s="175" t="s">
        <v>226</v>
      </c>
      <c r="C292" s="176">
        <f>SUM(C289:C291)</f>
        <v>0</v>
      </c>
      <c r="D292" s="176">
        <f>SUM(D289:D291)</f>
        <v>0</v>
      </c>
      <c r="E292" s="176">
        <f>SUM(E289:E291)</f>
        <v>0</v>
      </c>
      <c r="F292" s="176"/>
      <c r="G292" s="174" t="s">
        <v>238</v>
      </c>
      <c r="H292" s="175" t="s">
        <v>227</v>
      </c>
      <c r="I292" s="176">
        <f>SUM(I289:I291)</f>
        <v>0</v>
      </c>
      <c r="J292" s="176">
        <f>SUM(J289:J291)</f>
        <v>0</v>
      </c>
      <c r="K292" s="176">
        <f>SUM(K289:K291)</f>
        <v>0</v>
      </c>
      <c r="L292" s="176"/>
    </row>
    <row r="293" spans="1:12" ht="12.75">
      <c r="A293" s="174"/>
      <c r="B293" s="179" t="s">
        <v>230</v>
      </c>
      <c r="C293" s="180"/>
      <c r="D293" s="180"/>
      <c r="E293" s="180"/>
      <c r="F293" s="184"/>
      <c r="G293" s="174" t="s">
        <v>239</v>
      </c>
      <c r="H293" s="166" t="s">
        <v>231</v>
      </c>
      <c r="I293" s="167">
        <f>C292-I292</f>
        <v>0</v>
      </c>
      <c r="J293" s="167">
        <f>D292-J292</f>
        <v>0</v>
      </c>
      <c r="K293" s="167">
        <f>E292-K292</f>
        <v>0</v>
      </c>
      <c r="L293" s="167"/>
    </row>
    <row r="294" spans="1:12" ht="12.75">
      <c r="A294" s="174"/>
      <c r="B294" s="182" t="s">
        <v>232</v>
      </c>
      <c r="C294" s="183">
        <f>SUM(C293+C277)</f>
        <v>489</v>
      </c>
      <c r="D294" s="183">
        <f>SUM(D293+D277)</f>
        <v>1838</v>
      </c>
      <c r="E294" s="183">
        <f>SUM(E293+E277)</f>
        <v>-7106</v>
      </c>
      <c r="F294" s="183">
        <f>SUM(F293+F277)</f>
        <v>-4779</v>
      </c>
      <c r="G294" s="174" t="s">
        <v>240</v>
      </c>
      <c r="H294" s="182" t="s">
        <v>233</v>
      </c>
      <c r="I294" s="176"/>
      <c r="J294" s="176"/>
      <c r="K294" s="176"/>
      <c r="L294" s="167"/>
    </row>
    <row r="295" spans="1:12" ht="12.75">
      <c r="A295" s="174"/>
      <c r="B295" s="175" t="s">
        <v>256</v>
      </c>
      <c r="C295" s="176">
        <f>SUM(C292+C276+C294)</f>
        <v>54821</v>
      </c>
      <c r="D295" s="176">
        <f>SUM(D292+D276+D294)</f>
        <v>5244</v>
      </c>
      <c r="E295" s="176">
        <f>SUM(E292+E276+E294)</f>
        <v>-6903</v>
      </c>
      <c r="F295" s="176">
        <f>SUM(F292+F276+F294)</f>
        <v>53162</v>
      </c>
      <c r="G295" s="174" t="s">
        <v>242</v>
      </c>
      <c r="H295" s="175" t="s">
        <v>256</v>
      </c>
      <c r="I295" s="176">
        <f>SUM(I278,I292,I294)</f>
        <v>54821</v>
      </c>
      <c r="J295" s="176">
        <f>SUM(J278,J292,J294)</f>
        <v>5244</v>
      </c>
      <c r="K295" s="176">
        <f>SUM(K278,K292,K294)</f>
        <v>-6903</v>
      </c>
      <c r="L295" s="176">
        <f>SUM(L278,L292,L294)</f>
        <v>53162</v>
      </c>
    </row>
    <row r="296" spans="1:12" ht="12.75" customHeight="1">
      <c r="A296" s="164" t="s">
        <v>257</v>
      </c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</row>
    <row r="297" spans="1:12" ht="21.75" customHeight="1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</row>
    <row r="298" spans="1:12" ht="12.75">
      <c r="A298" s="165" t="s">
        <v>244</v>
      </c>
      <c r="B298" s="166"/>
      <c r="C298" s="167"/>
      <c r="D298" s="167"/>
      <c r="E298" s="167"/>
      <c r="F298" s="167"/>
      <c r="G298" s="166"/>
      <c r="H298" s="166"/>
      <c r="I298" s="168" t="s">
        <v>143</v>
      </c>
      <c r="J298" s="168"/>
      <c r="K298" s="168"/>
      <c r="L298" s="168"/>
    </row>
    <row r="299" spans="1:12" ht="12.75" customHeight="1">
      <c r="A299" s="169" t="s">
        <v>144</v>
      </c>
      <c r="B299" s="170" t="s">
        <v>145</v>
      </c>
      <c r="C299" s="171" t="s">
        <v>146</v>
      </c>
      <c r="D299" s="171" t="s">
        <v>147</v>
      </c>
      <c r="E299" s="171" t="s">
        <v>148</v>
      </c>
      <c r="F299" s="171" t="s">
        <v>149</v>
      </c>
      <c r="G299" s="169" t="s">
        <v>144</v>
      </c>
      <c r="H299" s="170" t="s">
        <v>150</v>
      </c>
      <c r="I299" s="171" t="s">
        <v>146</v>
      </c>
      <c r="J299" s="171" t="s">
        <v>147</v>
      </c>
      <c r="K299" s="171" t="s">
        <v>148</v>
      </c>
      <c r="L299" s="171" t="s">
        <v>149</v>
      </c>
    </row>
    <row r="300" spans="1:12" ht="12.75" customHeight="1">
      <c r="A300" s="169"/>
      <c r="B300" s="170"/>
      <c r="C300" s="171"/>
      <c r="D300" s="171"/>
      <c r="E300" s="171"/>
      <c r="F300" s="171"/>
      <c r="G300" s="169"/>
      <c r="H300" s="170"/>
      <c r="I300" s="171"/>
      <c r="J300" s="171"/>
      <c r="K300" s="171"/>
      <c r="L300" s="171"/>
    </row>
    <row r="301" spans="1:12" ht="12.75" customHeight="1">
      <c r="A301" s="169"/>
      <c r="B301" s="170"/>
      <c r="C301" s="171"/>
      <c r="D301" s="171"/>
      <c r="E301" s="171"/>
      <c r="F301" s="171"/>
      <c r="G301" s="169"/>
      <c r="H301" s="170"/>
      <c r="I301" s="171"/>
      <c r="J301" s="171"/>
      <c r="K301" s="171"/>
      <c r="L301" s="171"/>
    </row>
    <row r="302" spans="1:12" ht="12.75">
      <c r="A302" s="172" t="s">
        <v>12</v>
      </c>
      <c r="B302" s="172" t="s">
        <v>151</v>
      </c>
      <c r="C302" s="173"/>
      <c r="D302" s="173"/>
      <c r="E302" s="173"/>
      <c r="F302" s="173"/>
      <c r="G302" s="172"/>
      <c r="H302" s="172" t="s">
        <v>152</v>
      </c>
      <c r="I302" s="173">
        <f>SUM(I303:I305,I306,I313,I314)</f>
        <v>34485</v>
      </c>
      <c r="J302" s="173">
        <f>SUM(J303:J305,J306,J313,J314)</f>
        <v>2792</v>
      </c>
      <c r="K302" s="173">
        <f>SUM(K303:K305,K306,K313,K314)</f>
        <v>-493</v>
      </c>
      <c r="L302" s="173">
        <f>SUM(I302:K302)</f>
        <v>36784</v>
      </c>
    </row>
    <row r="303" spans="1:12" ht="12.75">
      <c r="A303" s="174" t="s">
        <v>14</v>
      </c>
      <c r="B303" s="175" t="s">
        <v>153</v>
      </c>
      <c r="C303" s="176">
        <v>0</v>
      </c>
      <c r="D303" s="176">
        <v>240</v>
      </c>
      <c r="E303" s="176"/>
      <c r="F303" s="176">
        <f>SUM(C303:E303)</f>
        <v>240</v>
      </c>
      <c r="G303" s="172" t="s">
        <v>12</v>
      </c>
      <c r="H303" s="172" t="s">
        <v>47</v>
      </c>
      <c r="I303" s="167">
        <v>22927</v>
      </c>
      <c r="J303" s="167">
        <f>656+1376</f>
        <v>2032</v>
      </c>
      <c r="K303" s="167">
        <f>800+267+150+100+347+343+200</f>
        <v>2207</v>
      </c>
      <c r="L303" s="173">
        <f aca="true" t="shared" si="42" ref="L303:L311">SUM(I303:K303)</f>
        <v>27166</v>
      </c>
    </row>
    <row r="304" spans="1:12" ht="12.75">
      <c r="A304" s="174" t="s">
        <v>40</v>
      </c>
      <c r="B304" s="175" t="s">
        <v>154</v>
      </c>
      <c r="C304" s="176">
        <v>0</v>
      </c>
      <c r="D304" s="176">
        <v>0</v>
      </c>
      <c r="E304" s="176">
        <v>0</v>
      </c>
      <c r="F304" s="176"/>
      <c r="G304" s="172" t="s">
        <v>155</v>
      </c>
      <c r="H304" s="172" t="s">
        <v>156</v>
      </c>
      <c r="I304" s="167">
        <v>7649</v>
      </c>
      <c r="J304" s="167">
        <f>210+454</f>
        <v>664</v>
      </c>
      <c r="K304" s="167">
        <v>-2100</v>
      </c>
      <c r="L304" s="173">
        <f t="shared" si="42"/>
        <v>6213</v>
      </c>
    </row>
    <row r="305" spans="1:12" ht="12.75">
      <c r="A305" s="177" t="s">
        <v>157</v>
      </c>
      <c r="B305" s="166" t="s">
        <v>158</v>
      </c>
      <c r="C305" s="167">
        <v>0</v>
      </c>
      <c r="D305" s="167">
        <v>0</v>
      </c>
      <c r="E305" s="167">
        <v>0</v>
      </c>
      <c r="F305" s="167"/>
      <c r="G305" s="172" t="s">
        <v>159</v>
      </c>
      <c r="H305" s="172" t="s">
        <v>160</v>
      </c>
      <c r="I305" s="167">
        <v>2621</v>
      </c>
      <c r="J305" s="167">
        <v>75</v>
      </c>
      <c r="K305" s="167">
        <v>-600</v>
      </c>
      <c r="L305" s="173">
        <f t="shared" si="42"/>
        <v>2096</v>
      </c>
    </row>
    <row r="306" spans="1:12" ht="12.75">
      <c r="A306" s="177" t="s">
        <v>161</v>
      </c>
      <c r="B306" s="166" t="s">
        <v>162</v>
      </c>
      <c r="C306" s="167">
        <v>0</v>
      </c>
      <c r="D306" s="167">
        <v>0</v>
      </c>
      <c r="E306" s="167">
        <v>0</v>
      </c>
      <c r="F306" s="167"/>
      <c r="G306" s="172" t="s">
        <v>163</v>
      </c>
      <c r="H306" s="172" t="s">
        <v>164</v>
      </c>
      <c r="I306" s="167">
        <f>SUM(I307:I311)</f>
        <v>1288</v>
      </c>
      <c r="J306" s="167">
        <f>SUM(J307:J311)</f>
        <v>21</v>
      </c>
      <c r="K306" s="167"/>
      <c r="L306" s="173">
        <f t="shared" si="42"/>
        <v>1309</v>
      </c>
    </row>
    <row r="307" spans="1:12" ht="12.75">
      <c r="A307" s="177" t="s">
        <v>165</v>
      </c>
      <c r="B307" s="166" t="s">
        <v>166</v>
      </c>
      <c r="C307" s="167"/>
      <c r="D307" s="167"/>
      <c r="E307" s="167"/>
      <c r="F307" s="167"/>
      <c r="G307" s="174" t="s">
        <v>14</v>
      </c>
      <c r="H307" s="166" t="s">
        <v>167</v>
      </c>
      <c r="I307" s="167">
        <v>1288</v>
      </c>
      <c r="J307" s="167">
        <v>21</v>
      </c>
      <c r="K307" s="167"/>
      <c r="L307" s="173">
        <f t="shared" si="42"/>
        <v>1309</v>
      </c>
    </row>
    <row r="308" spans="1:12" ht="12.75">
      <c r="A308" s="178" t="s">
        <v>168</v>
      </c>
      <c r="B308" s="172" t="s">
        <v>169</v>
      </c>
      <c r="C308" s="167"/>
      <c r="D308" s="167"/>
      <c r="E308" s="167"/>
      <c r="F308" s="167"/>
      <c r="G308" s="174" t="s">
        <v>40</v>
      </c>
      <c r="H308" s="166" t="s">
        <v>170</v>
      </c>
      <c r="I308" s="167"/>
      <c r="J308" s="167"/>
      <c r="K308" s="167"/>
      <c r="L308" s="173">
        <f t="shared" si="42"/>
        <v>0</v>
      </c>
    </row>
    <row r="309" spans="1:12" ht="12.75">
      <c r="A309" s="174" t="s">
        <v>14</v>
      </c>
      <c r="B309" s="175" t="s">
        <v>171</v>
      </c>
      <c r="C309" s="176">
        <f>SUM(C310:C312)</f>
        <v>20454</v>
      </c>
      <c r="D309" s="176">
        <f>SUM(D310:D312)</f>
        <v>-2652</v>
      </c>
      <c r="E309" s="176">
        <f>SUM(E310:E312)</f>
        <v>411</v>
      </c>
      <c r="F309" s="176">
        <f>SUM(F310:F312)</f>
        <v>18213</v>
      </c>
      <c r="G309" s="174" t="s">
        <v>105</v>
      </c>
      <c r="H309" s="166" t="s">
        <v>172</v>
      </c>
      <c r="I309" s="167">
        <v>0</v>
      </c>
      <c r="J309" s="167">
        <v>0</v>
      </c>
      <c r="K309" s="167">
        <v>0</v>
      </c>
      <c r="L309" s="173">
        <f t="shared" si="42"/>
        <v>0</v>
      </c>
    </row>
    <row r="310" spans="1:12" ht="12.75">
      <c r="A310" s="174" t="s">
        <v>173</v>
      </c>
      <c r="B310" s="166" t="s">
        <v>174</v>
      </c>
      <c r="C310" s="167">
        <v>20360</v>
      </c>
      <c r="D310" s="167">
        <f>-3595+77</f>
        <v>-3518</v>
      </c>
      <c r="E310" s="167"/>
      <c r="F310" s="167">
        <f>SUM(C310:E310)</f>
        <v>16842</v>
      </c>
      <c r="G310" s="174" t="s">
        <v>107</v>
      </c>
      <c r="H310" s="166" t="s">
        <v>175</v>
      </c>
      <c r="I310" s="167">
        <v>0</v>
      </c>
      <c r="J310" s="167">
        <v>0</v>
      </c>
      <c r="K310" s="167">
        <v>0</v>
      </c>
      <c r="L310" s="173">
        <f t="shared" si="42"/>
        <v>0</v>
      </c>
    </row>
    <row r="311" spans="1:12" ht="12.75">
      <c r="A311" s="174" t="s">
        <v>176</v>
      </c>
      <c r="B311" s="166" t="s">
        <v>177</v>
      </c>
      <c r="C311" s="167"/>
      <c r="D311" s="167">
        <v>866</v>
      </c>
      <c r="E311" s="167">
        <v>411</v>
      </c>
      <c r="F311" s="167">
        <f aca="true" t="shared" si="43" ref="F311:F316">SUM(C311:E311)</f>
        <v>1277</v>
      </c>
      <c r="G311" s="174" t="s">
        <v>117</v>
      </c>
      <c r="H311" s="166" t="s">
        <v>178</v>
      </c>
      <c r="I311" s="167">
        <v>0</v>
      </c>
      <c r="J311" s="167">
        <v>0</v>
      </c>
      <c r="K311" s="167">
        <v>0</v>
      </c>
      <c r="L311" s="173">
        <f t="shared" si="42"/>
        <v>0</v>
      </c>
    </row>
    <row r="312" spans="1:12" ht="12.75">
      <c r="A312" s="174" t="s">
        <v>179</v>
      </c>
      <c r="B312" s="166" t="s">
        <v>180</v>
      </c>
      <c r="C312" s="167">
        <v>94</v>
      </c>
      <c r="D312" s="167"/>
      <c r="E312" s="167"/>
      <c r="F312" s="167">
        <f t="shared" si="43"/>
        <v>94</v>
      </c>
      <c r="G312" s="174"/>
      <c r="H312" s="166"/>
      <c r="I312" s="167"/>
      <c r="J312" s="167"/>
      <c r="K312" s="167"/>
      <c r="L312" s="167"/>
    </row>
    <row r="313" spans="1:12" ht="12.75">
      <c r="A313" s="172" t="s">
        <v>181</v>
      </c>
      <c r="B313" s="172" t="s">
        <v>182</v>
      </c>
      <c r="C313" s="167">
        <v>11674</v>
      </c>
      <c r="D313" s="167">
        <f>393-1044</f>
        <v>-651</v>
      </c>
      <c r="E313" s="167">
        <v>20</v>
      </c>
      <c r="F313" s="167">
        <f t="shared" si="43"/>
        <v>11043</v>
      </c>
      <c r="G313" s="172" t="s">
        <v>183</v>
      </c>
      <c r="H313" s="172" t="s">
        <v>184</v>
      </c>
      <c r="I313" s="167"/>
      <c r="J313" s="167"/>
      <c r="K313" s="167"/>
      <c r="L313" s="167"/>
    </row>
    <row r="314" spans="1:12" ht="12.75">
      <c r="A314" s="172" t="s">
        <v>185</v>
      </c>
      <c r="B314" s="172" t="s">
        <v>186</v>
      </c>
      <c r="C314" s="167"/>
      <c r="D314" s="167"/>
      <c r="E314" s="167"/>
      <c r="F314" s="167">
        <f t="shared" si="43"/>
        <v>0</v>
      </c>
      <c r="G314" s="172" t="s">
        <v>187</v>
      </c>
      <c r="H314" s="172" t="s">
        <v>188</v>
      </c>
      <c r="I314" s="167"/>
      <c r="J314" s="167"/>
      <c r="K314" s="167"/>
      <c r="L314" s="167"/>
    </row>
    <row r="315" spans="1:12" ht="12.75">
      <c r="A315" s="174"/>
      <c r="B315" s="166" t="s">
        <v>189</v>
      </c>
      <c r="C315" s="167"/>
      <c r="D315" s="167"/>
      <c r="E315" s="167"/>
      <c r="F315" s="167">
        <f t="shared" si="43"/>
        <v>0</v>
      </c>
      <c r="G315" s="174" t="s">
        <v>14</v>
      </c>
      <c r="H315" s="166" t="s">
        <v>190</v>
      </c>
      <c r="I315" s="167"/>
      <c r="J315" s="167"/>
      <c r="K315" s="167"/>
      <c r="L315" s="167"/>
    </row>
    <row r="316" spans="1:12" ht="12.75">
      <c r="A316" s="172" t="s">
        <v>191</v>
      </c>
      <c r="B316" s="172" t="s">
        <v>192</v>
      </c>
      <c r="C316" s="176">
        <v>0</v>
      </c>
      <c r="D316" s="176">
        <v>0</v>
      </c>
      <c r="E316" s="176">
        <v>0</v>
      </c>
      <c r="F316" s="167">
        <f t="shared" si="43"/>
        <v>0</v>
      </c>
      <c r="G316" s="174" t="s">
        <v>40</v>
      </c>
      <c r="H316" s="166" t="s">
        <v>193</v>
      </c>
      <c r="I316" s="167"/>
      <c r="J316" s="167"/>
      <c r="K316" s="167"/>
      <c r="L316" s="167"/>
    </row>
    <row r="317" spans="1:12" ht="12.75">
      <c r="A317" s="172" t="s">
        <v>187</v>
      </c>
      <c r="B317" s="172" t="s">
        <v>194</v>
      </c>
      <c r="C317" s="167"/>
      <c r="D317" s="167"/>
      <c r="E317" s="167"/>
      <c r="F317" s="167"/>
      <c r="G317" s="174"/>
      <c r="H317" s="166"/>
      <c r="I317" s="167"/>
      <c r="J317" s="167"/>
      <c r="K317" s="167"/>
      <c r="L317" s="167"/>
    </row>
    <row r="318" spans="1:12" ht="12.75">
      <c r="A318" s="174"/>
      <c r="B318" s="175" t="s">
        <v>195</v>
      </c>
      <c r="C318" s="176">
        <f>SUM(C303+C304+C309+C313+C314+C316+C317)</f>
        <v>32128</v>
      </c>
      <c r="D318" s="176">
        <f>SUM(D303+D304+D309+D313+D314+D316+D317)</f>
        <v>-3063</v>
      </c>
      <c r="E318" s="176">
        <f>SUM(E303+E304+E309+E313+E314+E316+E317)</f>
        <v>431</v>
      </c>
      <c r="F318" s="176">
        <f>SUM(F303+F304+F309+F313+F314+F316+F317)</f>
        <v>29496</v>
      </c>
      <c r="G318" s="174"/>
      <c r="H318" s="175" t="s">
        <v>196</v>
      </c>
      <c r="I318" s="176">
        <f>SUM(I303:I306)</f>
        <v>34485</v>
      </c>
      <c r="J318" s="176">
        <f>SUM(J303:J306)</f>
        <v>2792</v>
      </c>
      <c r="K318" s="176">
        <f>SUM(K303:K306)</f>
        <v>-493</v>
      </c>
      <c r="L318" s="176">
        <f>SUM(L303:L306)</f>
        <v>36784</v>
      </c>
    </row>
    <row r="319" spans="1:12" ht="12.75">
      <c r="A319" s="174"/>
      <c r="B319" s="179" t="s">
        <v>197</v>
      </c>
      <c r="C319" s="180">
        <f>I318-C318</f>
        <v>2357</v>
      </c>
      <c r="D319" s="180">
        <f>J318-D318</f>
        <v>5855</v>
      </c>
      <c r="E319" s="180">
        <f>K318-E318</f>
        <v>-924</v>
      </c>
      <c r="F319" s="180">
        <f>L318-F318</f>
        <v>7288</v>
      </c>
      <c r="G319" s="174"/>
      <c r="H319" s="166" t="s">
        <v>198</v>
      </c>
      <c r="I319" s="180"/>
      <c r="J319" s="180"/>
      <c r="K319" s="180"/>
      <c r="L319" s="167"/>
    </row>
    <row r="320" spans="1:12" ht="12.75">
      <c r="A320" s="174"/>
      <c r="B320" s="172" t="s">
        <v>199</v>
      </c>
      <c r="C320" s="167"/>
      <c r="D320" s="167"/>
      <c r="E320" s="167"/>
      <c r="F320" s="167"/>
      <c r="G320" s="174"/>
      <c r="H320" s="175" t="s">
        <v>200</v>
      </c>
      <c r="I320" s="176">
        <f>SUM(I318:I319)</f>
        <v>34485</v>
      </c>
      <c r="J320" s="176">
        <f>SUM(J318:J319)</f>
        <v>2792</v>
      </c>
      <c r="K320" s="176">
        <f>SUM(K318:K319)</f>
        <v>-493</v>
      </c>
      <c r="L320" s="176">
        <f>SUM(L318:L319)</f>
        <v>36784</v>
      </c>
    </row>
    <row r="321" spans="1:12" ht="12.75">
      <c r="A321" s="172" t="s">
        <v>201</v>
      </c>
      <c r="B321" s="172" t="s">
        <v>202</v>
      </c>
      <c r="C321" s="167"/>
      <c r="D321" s="167"/>
      <c r="E321" s="167"/>
      <c r="F321" s="167"/>
      <c r="G321" s="174"/>
      <c r="H321" s="179" t="s">
        <v>203</v>
      </c>
      <c r="I321" s="167"/>
      <c r="J321" s="167"/>
      <c r="K321" s="167"/>
      <c r="L321" s="167"/>
    </row>
    <row r="322" spans="1:12" ht="12.75">
      <c r="A322" s="172" t="s">
        <v>204</v>
      </c>
      <c r="B322" s="172" t="s">
        <v>205</v>
      </c>
      <c r="C322" s="167"/>
      <c r="D322" s="167"/>
      <c r="E322" s="167"/>
      <c r="F322" s="167"/>
      <c r="G322" s="174"/>
      <c r="H322" s="172" t="s">
        <v>206</v>
      </c>
      <c r="I322" s="167"/>
      <c r="J322" s="167"/>
      <c r="K322" s="167"/>
      <c r="L322" s="167"/>
    </row>
    <row r="323" spans="1:12" ht="12.75">
      <c r="A323" s="172" t="s">
        <v>207</v>
      </c>
      <c r="B323" s="172" t="s">
        <v>208</v>
      </c>
      <c r="C323" s="167"/>
      <c r="D323" s="167"/>
      <c r="E323" s="167"/>
      <c r="F323" s="167"/>
      <c r="G323" s="172" t="s">
        <v>159</v>
      </c>
      <c r="H323" s="172" t="s">
        <v>209</v>
      </c>
      <c r="I323" s="167"/>
      <c r="J323" s="167"/>
      <c r="K323" s="167"/>
      <c r="L323" s="167"/>
    </row>
    <row r="324" spans="1:12" ht="12.75">
      <c r="A324" s="172" t="s">
        <v>210</v>
      </c>
      <c r="B324" s="172" t="s">
        <v>211</v>
      </c>
      <c r="C324" s="167"/>
      <c r="D324" s="167"/>
      <c r="E324" s="167"/>
      <c r="F324" s="167"/>
      <c r="G324" s="172" t="s">
        <v>163</v>
      </c>
      <c r="H324" s="172" t="s">
        <v>164</v>
      </c>
      <c r="I324" s="167"/>
      <c r="J324" s="167"/>
      <c r="K324" s="167"/>
      <c r="L324" s="167"/>
    </row>
    <row r="325" spans="1:12" ht="12.75">
      <c r="A325" s="172" t="s">
        <v>159</v>
      </c>
      <c r="B325" s="172" t="s">
        <v>212</v>
      </c>
      <c r="C325" s="167"/>
      <c r="D325" s="167"/>
      <c r="E325" s="167"/>
      <c r="F325" s="167"/>
      <c r="G325" s="174" t="s">
        <v>14</v>
      </c>
      <c r="H325" s="166" t="s">
        <v>167</v>
      </c>
      <c r="I325" s="167"/>
      <c r="J325" s="167"/>
      <c r="K325" s="167"/>
      <c r="L325" s="167"/>
    </row>
    <row r="326" spans="1:12" ht="12.75">
      <c r="A326" s="174" t="s">
        <v>14</v>
      </c>
      <c r="B326" s="181" t="s">
        <v>213</v>
      </c>
      <c r="C326" s="167"/>
      <c r="D326" s="167"/>
      <c r="E326" s="167"/>
      <c r="F326" s="167"/>
      <c r="G326" s="174" t="s">
        <v>40</v>
      </c>
      <c r="H326" s="166" t="s">
        <v>214</v>
      </c>
      <c r="I326" s="167"/>
      <c r="J326" s="167"/>
      <c r="K326" s="167"/>
      <c r="L326" s="167"/>
    </row>
    <row r="327" spans="1:12" ht="12.75">
      <c r="A327" s="174" t="s">
        <v>40</v>
      </c>
      <c r="B327" s="181" t="s">
        <v>215</v>
      </c>
      <c r="C327" s="167"/>
      <c r="D327" s="167"/>
      <c r="E327" s="167"/>
      <c r="F327" s="167"/>
      <c r="G327" s="172" t="s">
        <v>216</v>
      </c>
      <c r="H327" s="172" t="s">
        <v>217</v>
      </c>
      <c r="I327" s="167"/>
      <c r="J327" s="167"/>
      <c r="K327" s="167"/>
      <c r="L327" s="167"/>
    </row>
    <row r="328" spans="1:12" ht="12.75">
      <c r="A328" s="174" t="s">
        <v>105</v>
      </c>
      <c r="B328" s="181" t="s">
        <v>218</v>
      </c>
      <c r="C328" s="167"/>
      <c r="D328" s="167"/>
      <c r="E328" s="167"/>
      <c r="F328" s="167"/>
      <c r="G328" s="174" t="s">
        <v>14</v>
      </c>
      <c r="H328" s="181" t="s">
        <v>91</v>
      </c>
      <c r="I328" s="167"/>
      <c r="J328" s="167"/>
      <c r="K328" s="167"/>
      <c r="L328" s="167"/>
    </row>
    <row r="329" spans="1:12" ht="12.75">
      <c r="A329" s="172" t="s">
        <v>219</v>
      </c>
      <c r="B329" s="172" t="s">
        <v>220</v>
      </c>
      <c r="C329" s="167"/>
      <c r="D329" s="167"/>
      <c r="E329" s="167"/>
      <c r="F329" s="167"/>
      <c r="G329" s="174" t="s">
        <v>40</v>
      </c>
      <c r="H329" s="181" t="s">
        <v>90</v>
      </c>
      <c r="I329" s="167"/>
      <c r="J329" s="167"/>
      <c r="K329" s="167"/>
      <c r="L329" s="167"/>
    </row>
    <row r="330" spans="1:12" ht="12.75">
      <c r="A330" s="172" t="s">
        <v>221</v>
      </c>
      <c r="B330" s="172" t="s">
        <v>222</v>
      </c>
      <c r="C330" s="167"/>
      <c r="D330" s="167"/>
      <c r="E330" s="167"/>
      <c r="F330" s="167"/>
      <c r="G330" s="174" t="s">
        <v>105</v>
      </c>
      <c r="H330" s="166" t="s">
        <v>223</v>
      </c>
      <c r="I330" s="167"/>
      <c r="J330" s="167"/>
      <c r="K330" s="167"/>
      <c r="L330" s="167"/>
    </row>
    <row r="331" spans="1:12" ht="12.75">
      <c r="A331" s="172" t="s">
        <v>216</v>
      </c>
      <c r="B331" s="172" t="s">
        <v>224</v>
      </c>
      <c r="C331" s="167">
        <v>0</v>
      </c>
      <c r="D331" s="167">
        <v>0</v>
      </c>
      <c r="E331" s="167">
        <v>0</v>
      </c>
      <c r="F331" s="167"/>
      <c r="G331" s="172" t="s">
        <v>183</v>
      </c>
      <c r="H331" s="172" t="s">
        <v>225</v>
      </c>
      <c r="I331" s="167"/>
      <c r="J331" s="167"/>
      <c r="K331" s="167"/>
      <c r="L331" s="167"/>
    </row>
    <row r="332" spans="1:12" ht="12.75">
      <c r="A332" s="172" t="s">
        <v>183</v>
      </c>
      <c r="B332" s="172" t="s">
        <v>225</v>
      </c>
      <c r="C332" s="167">
        <v>0</v>
      </c>
      <c r="D332" s="167">
        <v>0</v>
      </c>
      <c r="E332" s="167">
        <v>0</v>
      </c>
      <c r="F332" s="167"/>
      <c r="G332" s="172" t="s">
        <v>187</v>
      </c>
      <c r="H332" s="172" t="s">
        <v>188</v>
      </c>
      <c r="I332" s="167"/>
      <c r="J332" s="167"/>
      <c r="K332" s="167"/>
      <c r="L332" s="167"/>
    </row>
    <row r="333" spans="1:12" ht="12.75">
      <c r="A333" s="172" t="s">
        <v>187</v>
      </c>
      <c r="B333" s="172" t="s">
        <v>194</v>
      </c>
      <c r="C333" s="167">
        <v>0</v>
      </c>
      <c r="D333" s="167">
        <v>0</v>
      </c>
      <c r="E333" s="167">
        <v>0</v>
      </c>
      <c r="F333" s="167"/>
      <c r="G333" s="174" t="s">
        <v>14</v>
      </c>
      <c r="H333" s="166" t="s">
        <v>190</v>
      </c>
      <c r="I333" s="167"/>
      <c r="J333" s="167"/>
      <c r="K333" s="167"/>
      <c r="L333" s="167"/>
    </row>
    <row r="334" spans="1:12" ht="12.75">
      <c r="A334" s="174"/>
      <c r="B334" s="175" t="s">
        <v>226</v>
      </c>
      <c r="C334" s="176">
        <f>SUM(C331:C333)</f>
        <v>0</v>
      </c>
      <c r="D334" s="176">
        <f>SUM(D331:D333)</f>
        <v>0</v>
      </c>
      <c r="E334" s="176">
        <f>SUM(E331:E333)</f>
        <v>0</v>
      </c>
      <c r="F334" s="176">
        <f>SUM(F331:F333)</f>
        <v>0</v>
      </c>
      <c r="G334" s="174" t="s">
        <v>238</v>
      </c>
      <c r="H334" s="175" t="s">
        <v>227</v>
      </c>
      <c r="I334" s="176">
        <f>SUM(I331:I333)</f>
        <v>0</v>
      </c>
      <c r="J334" s="176">
        <f>SUM(J331:J333)</f>
        <v>0</v>
      </c>
      <c r="K334" s="176">
        <f>SUM(K331:K333)</f>
        <v>0</v>
      </c>
      <c r="L334" s="176"/>
    </row>
    <row r="335" spans="1:12" ht="12.75">
      <c r="A335" s="174"/>
      <c r="B335" s="179" t="s">
        <v>230</v>
      </c>
      <c r="C335" s="180"/>
      <c r="D335" s="180"/>
      <c r="E335" s="180"/>
      <c r="F335" s="184"/>
      <c r="G335" s="174" t="s">
        <v>239</v>
      </c>
      <c r="H335" s="166" t="s">
        <v>231</v>
      </c>
      <c r="I335" s="167">
        <f>C334-I334</f>
        <v>0</v>
      </c>
      <c r="J335" s="167">
        <f>D334-J334</f>
        <v>0</v>
      </c>
      <c r="K335" s="167">
        <f>E334-K334</f>
        <v>0</v>
      </c>
      <c r="L335" s="167"/>
    </row>
    <row r="336" spans="1:12" ht="12.75">
      <c r="A336" s="174"/>
      <c r="B336" s="182" t="s">
        <v>232</v>
      </c>
      <c r="C336" s="183">
        <f>SUM(C335+C319)</f>
        <v>2357</v>
      </c>
      <c r="D336" s="183">
        <f>SUM(D335+D319)</f>
        <v>5855</v>
      </c>
      <c r="E336" s="183">
        <f>SUM(E335+E319)</f>
        <v>-924</v>
      </c>
      <c r="F336" s="183">
        <f>SUM(F335+F319)</f>
        <v>7288</v>
      </c>
      <c r="G336" s="174" t="s">
        <v>240</v>
      </c>
      <c r="H336" s="182" t="s">
        <v>233</v>
      </c>
      <c r="I336" s="176">
        <f>SUM(I319,I335)</f>
        <v>0</v>
      </c>
      <c r="J336" s="176">
        <f>SUM(J319,J335)</f>
        <v>0</v>
      </c>
      <c r="K336" s="176">
        <f>SUM(K319,K335)</f>
        <v>0</v>
      </c>
      <c r="L336" s="167"/>
    </row>
    <row r="337" spans="1:12" ht="12.75">
      <c r="A337" s="174"/>
      <c r="B337" s="175" t="s">
        <v>258</v>
      </c>
      <c r="C337" s="176">
        <f>SUM(C334+C318+C336)</f>
        <v>34485</v>
      </c>
      <c r="D337" s="176">
        <f>SUM(D334+D318+D336)</f>
        <v>2792</v>
      </c>
      <c r="E337" s="176">
        <f>SUM(E334+E318+E336)</f>
        <v>-493</v>
      </c>
      <c r="F337" s="176">
        <f>SUM(F334+F318+F336)</f>
        <v>36784</v>
      </c>
      <c r="G337" s="174" t="s">
        <v>242</v>
      </c>
      <c r="H337" s="175" t="s">
        <v>258</v>
      </c>
      <c r="I337" s="176">
        <f>SUM(I320,I334,I336)</f>
        <v>34485</v>
      </c>
      <c r="J337" s="176">
        <f>SUM(J320,J334,J336)</f>
        <v>2792</v>
      </c>
      <c r="K337" s="176">
        <f>SUM(K320,K334,K336)</f>
        <v>-493</v>
      </c>
      <c r="L337" s="176">
        <f>SUM(L320,L334,L336)</f>
        <v>36784</v>
      </c>
    </row>
    <row r="338" spans="1:12" ht="12.75" customHeight="1">
      <c r="A338" s="164" t="s">
        <v>259</v>
      </c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</row>
    <row r="339" spans="1:12" ht="12.75">
      <c r="A339" s="164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</row>
    <row r="340" spans="1:12" ht="12.75">
      <c r="A340" s="165" t="s">
        <v>244</v>
      </c>
      <c r="B340" s="166"/>
      <c r="C340" s="167"/>
      <c r="D340" s="167"/>
      <c r="E340" s="167"/>
      <c r="F340" s="167"/>
      <c r="G340" s="166"/>
      <c r="H340" s="166"/>
      <c r="I340" s="168" t="s">
        <v>143</v>
      </c>
      <c r="J340" s="168"/>
      <c r="K340" s="168"/>
      <c r="L340" s="168"/>
    </row>
    <row r="341" spans="1:12" ht="12.75" customHeight="1">
      <c r="A341" s="169" t="s">
        <v>144</v>
      </c>
      <c r="B341" s="170" t="s">
        <v>145</v>
      </c>
      <c r="C341" s="171" t="s">
        <v>146</v>
      </c>
      <c r="D341" s="171" t="s">
        <v>147</v>
      </c>
      <c r="E341" s="171" t="s">
        <v>148</v>
      </c>
      <c r="F341" s="171" t="s">
        <v>149</v>
      </c>
      <c r="G341" s="169" t="s">
        <v>144</v>
      </c>
      <c r="H341" s="170" t="s">
        <v>150</v>
      </c>
      <c r="I341" s="171" t="s">
        <v>146</v>
      </c>
      <c r="J341" s="171" t="s">
        <v>147</v>
      </c>
      <c r="K341" s="171" t="s">
        <v>148</v>
      </c>
      <c r="L341" s="171" t="s">
        <v>149</v>
      </c>
    </row>
    <row r="342" spans="1:12" ht="12.75" customHeight="1">
      <c r="A342" s="169"/>
      <c r="B342" s="170"/>
      <c r="C342" s="171"/>
      <c r="D342" s="171"/>
      <c r="E342" s="171"/>
      <c r="F342" s="171"/>
      <c r="G342" s="169"/>
      <c r="H342" s="170"/>
      <c r="I342" s="171"/>
      <c r="J342" s="171"/>
      <c r="K342" s="171"/>
      <c r="L342" s="171"/>
    </row>
    <row r="343" spans="1:12" ht="12.75" customHeight="1">
      <c r="A343" s="169"/>
      <c r="B343" s="170"/>
      <c r="C343" s="171"/>
      <c r="D343" s="171"/>
      <c r="E343" s="171"/>
      <c r="F343" s="171"/>
      <c r="G343" s="169"/>
      <c r="H343" s="170"/>
      <c r="I343" s="171"/>
      <c r="J343" s="171"/>
      <c r="K343" s="171"/>
      <c r="L343" s="171"/>
    </row>
    <row r="344" spans="1:12" ht="12.75">
      <c r="A344" s="172" t="s">
        <v>12</v>
      </c>
      <c r="B344" s="172" t="s">
        <v>151</v>
      </c>
      <c r="C344" s="173"/>
      <c r="D344" s="173"/>
      <c r="E344" s="173"/>
      <c r="F344" s="173"/>
      <c r="G344" s="172"/>
      <c r="H344" s="172" t="s">
        <v>152</v>
      </c>
      <c r="I344" s="173">
        <f>SUM(I345:I347,I348,I355,I356)</f>
        <v>34523</v>
      </c>
      <c r="J344" s="173">
        <f>SUM(J345:J347,J348,J355,J356)</f>
        <v>619</v>
      </c>
      <c r="K344" s="173">
        <f>SUM(K345:K347,K348,K355,K356)</f>
        <v>-6572</v>
      </c>
      <c r="L344" s="173">
        <f>SUM(I344:K344)</f>
        <v>28570</v>
      </c>
    </row>
    <row r="345" spans="1:12" ht="12.75">
      <c r="A345" s="174" t="s">
        <v>14</v>
      </c>
      <c r="B345" s="175" t="s">
        <v>153</v>
      </c>
      <c r="C345" s="176">
        <v>980</v>
      </c>
      <c r="D345" s="176">
        <v>-880</v>
      </c>
      <c r="E345" s="176"/>
      <c r="F345" s="176">
        <f>SUM(C345:E345)</f>
        <v>100</v>
      </c>
      <c r="G345" s="172" t="s">
        <v>12</v>
      </c>
      <c r="H345" s="172" t="s">
        <v>47</v>
      </c>
      <c r="I345" s="167">
        <v>8753</v>
      </c>
      <c r="J345" s="167">
        <v>176</v>
      </c>
      <c r="K345" s="167">
        <f>-2436+584+1000+180</f>
        <v>-672</v>
      </c>
      <c r="L345" s="173">
        <f aca="true" t="shared" si="44" ref="L345:L353">SUM(I345:K345)</f>
        <v>8257</v>
      </c>
    </row>
    <row r="346" spans="1:12" ht="12.75">
      <c r="A346" s="174" t="s">
        <v>40</v>
      </c>
      <c r="B346" s="175" t="s">
        <v>154</v>
      </c>
      <c r="C346" s="176">
        <v>0</v>
      </c>
      <c r="D346" s="176">
        <v>0</v>
      </c>
      <c r="E346" s="176">
        <v>0</v>
      </c>
      <c r="F346" s="176">
        <f aca="true" t="shared" si="45" ref="F346:F355">SUM(C346:E346)</f>
        <v>0</v>
      </c>
      <c r="G346" s="172" t="s">
        <v>155</v>
      </c>
      <c r="H346" s="172" t="s">
        <v>156</v>
      </c>
      <c r="I346" s="167">
        <v>2891</v>
      </c>
      <c r="J346" s="167">
        <v>58</v>
      </c>
      <c r="K346" s="167"/>
      <c r="L346" s="173">
        <f t="shared" si="44"/>
        <v>2949</v>
      </c>
    </row>
    <row r="347" spans="1:12" ht="12.75">
      <c r="A347" s="177" t="s">
        <v>157</v>
      </c>
      <c r="B347" s="166" t="s">
        <v>158</v>
      </c>
      <c r="C347" s="167">
        <v>0</v>
      </c>
      <c r="D347" s="167">
        <v>0</v>
      </c>
      <c r="E347" s="167">
        <v>0</v>
      </c>
      <c r="F347" s="176">
        <f t="shared" si="45"/>
        <v>0</v>
      </c>
      <c r="G347" s="172" t="s">
        <v>159</v>
      </c>
      <c r="H347" s="172" t="s">
        <v>160</v>
      </c>
      <c r="I347" s="167">
        <v>22879</v>
      </c>
      <c r="J347" s="167">
        <f>34+100+251</f>
        <v>385</v>
      </c>
      <c r="K347" s="167">
        <v>-5900</v>
      </c>
      <c r="L347" s="173">
        <f t="shared" si="44"/>
        <v>17364</v>
      </c>
    </row>
    <row r="348" spans="1:12" ht="12.75">
      <c r="A348" s="177" t="s">
        <v>161</v>
      </c>
      <c r="B348" s="166" t="s">
        <v>162</v>
      </c>
      <c r="C348" s="167"/>
      <c r="D348" s="167"/>
      <c r="E348" s="167"/>
      <c r="F348" s="176">
        <f t="shared" si="45"/>
        <v>0</v>
      </c>
      <c r="G348" s="172" t="s">
        <v>163</v>
      </c>
      <c r="H348" s="172" t="s">
        <v>164</v>
      </c>
      <c r="I348" s="167"/>
      <c r="J348" s="167"/>
      <c r="K348" s="167"/>
      <c r="L348" s="173">
        <f t="shared" si="44"/>
        <v>0</v>
      </c>
    </row>
    <row r="349" spans="1:12" ht="12.75">
      <c r="A349" s="177" t="s">
        <v>165</v>
      </c>
      <c r="B349" s="166" t="s">
        <v>166</v>
      </c>
      <c r="C349" s="167"/>
      <c r="D349" s="167"/>
      <c r="E349" s="167"/>
      <c r="F349" s="176">
        <f t="shared" si="45"/>
        <v>0</v>
      </c>
      <c r="G349" s="174" t="s">
        <v>14</v>
      </c>
      <c r="H349" s="166" t="s">
        <v>167</v>
      </c>
      <c r="I349" s="167"/>
      <c r="J349" s="167"/>
      <c r="K349" s="167"/>
      <c r="L349" s="173">
        <f t="shared" si="44"/>
        <v>0</v>
      </c>
    </row>
    <row r="350" spans="1:12" ht="12.75">
      <c r="A350" s="178" t="s">
        <v>168</v>
      </c>
      <c r="B350" s="172" t="s">
        <v>169</v>
      </c>
      <c r="C350" s="167"/>
      <c r="D350" s="167"/>
      <c r="E350" s="167"/>
      <c r="F350" s="176">
        <f t="shared" si="45"/>
        <v>0</v>
      </c>
      <c r="G350" s="174" t="s">
        <v>40</v>
      </c>
      <c r="H350" s="166" t="s">
        <v>170</v>
      </c>
      <c r="I350" s="167"/>
      <c r="J350" s="167"/>
      <c r="K350" s="167"/>
      <c r="L350" s="173">
        <f t="shared" si="44"/>
        <v>0</v>
      </c>
    </row>
    <row r="351" spans="1:12" ht="12.75">
      <c r="A351" s="174" t="s">
        <v>14</v>
      </c>
      <c r="B351" s="175" t="s">
        <v>171</v>
      </c>
      <c r="C351" s="176">
        <f>SUM(C352:C354)</f>
        <v>5923</v>
      </c>
      <c r="D351" s="176">
        <f>SUM(D352:D354)</f>
        <v>519</v>
      </c>
      <c r="E351" s="176">
        <f>SUM(E352:E354)</f>
        <v>-41</v>
      </c>
      <c r="F351" s="176">
        <f t="shared" si="45"/>
        <v>6401</v>
      </c>
      <c r="G351" s="174" t="s">
        <v>105</v>
      </c>
      <c r="H351" s="166" t="s">
        <v>172</v>
      </c>
      <c r="I351" s="167">
        <v>0</v>
      </c>
      <c r="J351" s="167">
        <v>0</v>
      </c>
      <c r="K351" s="167">
        <v>0</v>
      </c>
      <c r="L351" s="173">
        <f t="shared" si="44"/>
        <v>0</v>
      </c>
    </row>
    <row r="352" spans="1:12" ht="12.75">
      <c r="A352" s="174" t="s">
        <v>173</v>
      </c>
      <c r="B352" s="166" t="s">
        <v>174</v>
      </c>
      <c r="C352" s="167">
        <v>5923</v>
      </c>
      <c r="D352" s="167"/>
      <c r="E352" s="167"/>
      <c r="F352" s="176">
        <f t="shared" si="45"/>
        <v>5923</v>
      </c>
      <c r="G352" s="174" t="s">
        <v>107</v>
      </c>
      <c r="H352" s="166" t="s">
        <v>175</v>
      </c>
      <c r="I352" s="167">
        <v>0</v>
      </c>
      <c r="J352" s="167">
        <v>0</v>
      </c>
      <c r="K352" s="167">
        <v>0</v>
      </c>
      <c r="L352" s="173">
        <f t="shared" si="44"/>
        <v>0</v>
      </c>
    </row>
    <row r="353" spans="1:12" ht="12.75">
      <c r="A353" s="174" t="s">
        <v>176</v>
      </c>
      <c r="B353" s="166" t="s">
        <v>177</v>
      </c>
      <c r="C353" s="167">
        <v>0</v>
      </c>
      <c r="D353" s="167">
        <f>234+34+251</f>
        <v>519</v>
      </c>
      <c r="E353" s="167">
        <v>-41</v>
      </c>
      <c r="F353" s="176">
        <f t="shared" si="45"/>
        <v>478</v>
      </c>
      <c r="G353" s="174" t="s">
        <v>117</v>
      </c>
      <c r="H353" s="166" t="s">
        <v>178</v>
      </c>
      <c r="I353" s="167">
        <v>0</v>
      </c>
      <c r="J353" s="167">
        <v>0</v>
      </c>
      <c r="K353" s="167">
        <v>0</v>
      </c>
      <c r="L353" s="173">
        <f t="shared" si="44"/>
        <v>0</v>
      </c>
    </row>
    <row r="354" spans="1:12" ht="12.75">
      <c r="A354" s="174" t="s">
        <v>179</v>
      </c>
      <c r="B354" s="166" t="s">
        <v>180</v>
      </c>
      <c r="C354" s="167">
        <v>0</v>
      </c>
      <c r="D354" s="167"/>
      <c r="E354" s="167"/>
      <c r="F354" s="176">
        <f t="shared" si="45"/>
        <v>0</v>
      </c>
      <c r="G354" s="174"/>
      <c r="H354" s="166"/>
      <c r="I354" s="167"/>
      <c r="J354" s="167"/>
      <c r="K354" s="167"/>
      <c r="L354" s="167"/>
    </row>
    <row r="355" spans="1:12" ht="12.75">
      <c r="A355" s="172" t="s">
        <v>181</v>
      </c>
      <c r="B355" s="172" t="s">
        <v>182</v>
      </c>
      <c r="C355" s="167"/>
      <c r="D355" s="167">
        <f>100+100+100+200+100</f>
        <v>600</v>
      </c>
      <c r="E355" s="167"/>
      <c r="F355" s="176">
        <f t="shared" si="45"/>
        <v>600</v>
      </c>
      <c r="G355" s="172" t="s">
        <v>183</v>
      </c>
      <c r="H355" s="172" t="s">
        <v>184</v>
      </c>
      <c r="I355" s="167"/>
      <c r="J355" s="167"/>
      <c r="K355" s="167"/>
      <c r="L355" s="167"/>
    </row>
    <row r="356" spans="1:12" ht="12.75">
      <c r="A356" s="172" t="s">
        <v>185</v>
      </c>
      <c r="B356" s="172" t="s">
        <v>186</v>
      </c>
      <c r="C356" s="167"/>
      <c r="D356" s="167"/>
      <c r="E356" s="167"/>
      <c r="F356" s="167"/>
      <c r="G356" s="172" t="s">
        <v>187</v>
      </c>
      <c r="H356" s="172" t="s">
        <v>188</v>
      </c>
      <c r="I356" s="167"/>
      <c r="J356" s="167"/>
      <c r="K356" s="167"/>
      <c r="L356" s="167"/>
    </row>
    <row r="357" spans="1:12" ht="12.75">
      <c r="A357" s="174"/>
      <c r="B357" s="166" t="s">
        <v>189</v>
      </c>
      <c r="C357" s="167"/>
      <c r="D357" s="167"/>
      <c r="E357" s="167"/>
      <c r="F357" s="167"/>
      <c r="G357" s="174" t="s">
        <v>14</v>
      </c>
      <c r="H357" s="166" t="s">
        <v>190</v>
      </c>
      <c r="I357" s="167"/>
      <c r="J357" s="167"/>
      <c r="K357" s="167"/>
      <c r="L357" s="167"/>
    </row>
    <row r="358" spans="1:12" ht="12.75">
      <c r="A358" s="172" t="s">
        <v>191</v>
      </c>
      <c r="B358" s="172" t="s">
        <v>192</v>
      </c>
      <c r="C358" s="176">
        <v>0</v>
      </c>
      <c r="D358" s="176">
        <v>0</v>
      </c>
      <c r="E358" s="176">
        <v>0</v>
      </c>
      <c r="F358" s="176"/>
      <c r="G358" s="174" t="s">
        <v>40</v>
      </c>
      <c r="H358" s="166" t="s">
        <v>193</v>
      </c>
      <c r="I358" s="167"/>
      <c r="J358" s="167"/>
      <c r="K358" s="167"/>
      <c r="L358" s="167"/>
    </row>
    <row r="359" spans="1:12" ht="12.75">
      <c r="A359" s="172" t="s">
        <v>187</v>
      </c>
      <c r="B359" s="172" t="s">
        <v>194</v>
      </c>
      <c r="C359" s="167"/>
      <c r="D359" s="167"/>
      <c r="E359" s="167"/>
      <c r="F359" s="167"/>
      <c r="G359" s="174"/>
      <c r="H359" s="166"/>
      <c r="I359" s="167"/>
      <c r="J359" s="167"/>
      <c r="K359" s="167"/>
      <c r="L359" s="167"/>
    </row>
    <row r="360" spans="1:12" ht="12.75">
      <c r="A360" s="174"/>
      <c r="B360" s="175" t="s">
        <v>195</v>
      </c>
      <c r="C360" s="176">
        <f>SUM(C345+C346+C351+C355+C356+C358+C359)</f>
        <v>6903</v>
      </c>
      <c r="D360" s="176">
        <f>SUM(D345+D346+D351+D355+D356+D358+D359)</f>
        <v>239</v>
      </c>
      <c r="E360" s="176">
        <f>SUM(E345+E346+E351+E355+E356+E358+E359)</f>
        <v>-41</v>
      </c>
      <c r="F360" s="176">
        <f>SUM(F345+F346+F351+F355+F356+F358+F359)</f>
        <v>7101</v>
      </c>
      <c r="G360" s="174"/>
      <c r="H360" s="175" t="s">
        <v>196</v>
      </c>
      <c r="I360" s="176">
        <f>SUM(I345:I347)</f>
        <v>34523</v>
      </c>
      <c r="J360" s="176">
        <f>SUM(J345:J347)</f>
        <v>619</v>
      </c>
      <c r="K360" s="176">
        <f>SUM(K345:K347)</f>
        <v>-6572</v>
      </c>
      <c r="L360" s="176">
        <f>SUM(I360:K360)</f>
        <v>28570</v>
      </c>
    </row>
    <row r="361" spans="1:12" ht="12.75">
      <c r="A361" s="174"/>
      <c r="B361" s="179" t="s">
        <v>197</v>
      </c>
      <c r="C361" s="180">
        <f>I362-C360</f>
        <v>27620</v>
      </c>
      <c r="D361" s="180">
        <f>J362-D360</f>
        <v>380</v>
      </c>
      <c r="E361" s="180">
        <f>K362-E360</f>
        <v>-6531</v>
      </c>
      <c r="F361" s="180">
        <f>L362-F360</f>
        <v>21469</v>
      </c>
      <c r="G361" s="174"/>
      <c r="H361" s="166" t="s">
        <v>198</v>
      </c>
      <c r="I361" s="180"/>
      <c r="J361" s="180"/>
      <c r="K361" s="180"/>
      <c r="L361" s="167"/>
    </row>
    <row r="362" spans="1:12" ht="12.75">
      <c r="A362" s="174"/>
      <c r="B362" s="172" t="s">
        <v>199</v>
      </c>
      <c r="C362" s="167"/>
      <c r="D362" s="167"/>
      <c r="E362" s="167"/>
      <c r="F362" s="167"/>
      <c r="G362" s="174"/>
      <c r="H362" s="175" t="s">
        <v>200</v>
      </c>
      <c r="I362" s="176">
        <f>SUM(I360:I361)</f>
        <v>34523</v>
      </c>
      <c r="J362" s="176">
        <f>SUM(J360:J361)</f>
        <v>619</v>
      </c>
      <c r="K362" s="176">
        <f>SUM(K360:K361)</f>
        <v>-6572</v>
      </c>
      <c r="L362" s="176">
        <f>SUM(I362:K362)</f>
        <v>28570</v>
      </c>
    </row>
    <row r="363" spans="1:12" ht="12.75">
      <c r="A363" s="172" t="s">
        <v>201</v>
      </c>
      <c r="B363" s="172" t="s">
        <v>202</v>
      </c>
      <c r="C363" s="167"/>
      <c r="D363" s="167"/>
      <c r="E363" s="167"/>
      <c r="F363" s="167"/>
      <c r="G363" s="174"/>
      <c r="H363" s="179" t="s">
        <v>203</v>
      </c>
      <c r="I363" s="167"/>
      <c r="J363" s="167"/>
      <c r="K363" s="167"/>
      <c r="L363" s="167"/>
    </row>
    <row r="364" spans="1:12" ht="12.75">
      <c r="A364" s="172" t="s">
        <v>204</v>
      </c>
      <c r="B364" s="172" t="s">
        <v>205</v>
      </c>
      <c r="C364" s="167"/>
      <c r="D364" s="167"/>
      <c r="E364" s="167"/>
      <c r="F364" s="167"/>
      <c r="G364" s="174"/>
      <c r="H364" s="172" t="s">
        <v>206</v>
      </c>
      <c r="I364" s="167"/>
      <c r="J364" s="167"/>
      <c r="K364" s="167"/>
      <c r="L364" s="167"/>
    </row>
    <row r="365" spans="1:12" ht="12.75">
      <c r="A365" s="172" t="s">
        <v>207</v>
      </c>
      <c r="B365" s="172" t="s">
        <v>208</v>
      </c>
      <c r="C365" s="167"/>
      <c r="D365" s="167"/>
      <c r="E365" s="167"/>
      <c r="F365" s="167"/>
      <c r="G365" s="172" t="s">
        <v>159</v>
      </c>
      <c r="H365" s="172" t="s">
        <v>209</v>
      </c>
      <c r="I365" s="167"/>
      <c r="J365" s="167"/>
      <c r="K365" s="167"/>
      <c r="L365" s="167"/>
    </row>
    <row r="366" spans="1:12" ht="12.75">
      <c r="A366" s="172" t="s">
        <v>210</v>
      </c>
      <c r="B366" s="172" t="s">
        <v>211</v>
      </c>
      <c r="C366" s="167"/>
      <c r="D366" s="167"/>
      <c r="E366" s="167"/>
      <c r="F366" s="167"/>
      <c r="G366" s="172" t="s">
        <v>163</v>
      </c>
      <c r="H366" s="172" t="s">
        <v>164</v>
      </c>
      <c r="I366" s="167"/>
      <c r="J366" s="167"/>
      <c r="K366" s="167"/>
      <c r="L366" s="167"/>
    </row>
    <row r="367" spans="1:12" ht="12.75">
      <c r="A367" s="172" t="s">
        <v>159</v>
      </c>
      <c r="B367" s="172" t="s">
        <v>212</v>
      </c>
      <c r="C367" s="167"/>
      <c r="D367" s="167">
        <f>SUM(D368:D370)</f>
        <v>880</v>
      </c>
      <c r="E367" s="167">
        <f>SUM(E368:E370)</f>
        <v>0</v>
      </c>
      <c r="F367" s="167">
        <f>SUM(D367:E367)</f>
        <v>880</v>
      </c>
      <c r="G367" s="174" t="s">
        <v>14</v>
      </c>
      <c r="H367" s="166" t="s">
        <v>167</v>
      </c>
      <c r="I367" s="167"/>
      <c r="J367" s="167"/>
      <c r="K367" s="167"/>
      <c r="L367" s="167"/>
    </row>
    <row r="368" spans="1:12" ht="12.75">
      <c r="A368" s="174" t="s">
        <v>14</v>
      </c>
      <c r="B368" s="181" t="s">
        <v>213</v>
      </c>
      <c r="C368" s="167"/>
      <c r="D368" s="167"/>
      <c r="E368" s="167"/>
      <c r="F368" s="167"/>
      <c r="G368" s="174" t="s">
        <v>40</v>
      </c>
      <c r="H368" s="166" t="s">
        <v>214</v>
      </c>
      <c r="I368" s="167"/>
      <c r="J368" s="167"/>
      <c r="K368" s="167"/>
      <c r="L368" s="167"/>
    </row>
    <row r="369" spans="1:12" ht="12.75">
      <c r="A369" s="174" t="s">
        <v>40</v>
      </c>
      <c r="B369" s="181" t="s">
        <v>215</v>
      </c>
      <c r="C369" s="167"/>
      <c r="D369" s="167">
        <v>880</v>
      </c>
      <c r="E369" s="167"/>
      <c r="F369" s="167">
        <f>SUM(D369:E369)</f>
        <v>880</v>
      </c>
      <c r="G369" s="172" t="s">
        <v>216</v>
      </c>
      <c r="H369" s="172" t="s">
        <v>217</v>
      </c>
      <c r="I369" s="167"/>
      <c r="J369" s="167"/>
      <c r="K369" s="167"/>
      <c r="L369" s="167"/>
    </row>
    <row r="370" spans="1:12" ht="12.75">
      <c r="A370" s="174" t="s">
        <v>105</v>
      </c>
      <c r="B370" s="181" t="s">
        <v>218</v>
      </c>
      <c r="C370" s="167"/>
      <c r="D370" s="167"/>
      <c r="E370" s="167"/>
      <c r="F370" s="167"/>
      <c r="G370" s="174" t="s">
        <v>14</v>
      </c>
      <c r="H370" s="181" t="s">
        <v>91</v>
      </c>
      <c r="I370" s="167"/>
      <c r="J370" s="167"/>
      <c r="K370" s="167"/>
      <c r="L370" s="167"/>
    </row>
    <row r="371" spans="1:12" ht="12.75">
      <c r="A371" s="172" t="s">
        <v>219</v>
      </c>
      <c r="B371" s="172" t="s">
        <v>220</v>
      </c>
      <c r="C371" s="167"/>
      <c r="D371" s="167"/>
      <c r="E371" s="167"/>
      <c r="F371" s="167"/>
      <c r="G371" s="174" t="s">
        <v>40</v>
      </c>
      <c r="H371" s="181" t="s">
        <v>90</v>
      </c>
      <c r="I371" s="167"/>
      <c r="J371" s="167"/>
      <c r="K371" s="167"/>
      <c r="L371" s="167"/>
    </row>
    <row r="372" spans="1:12" ht="12.75">
      <c r="A372" s="172" t="s">
        <v>221</v>
      </c>
      <c r="B372" s="172" t="s">
        <v>222</v>
      </c>
      <c r="C372" s="167"/>
      <c r="D372" s="167"/>
      <c r="E372" s="167"/>
      <c r="F372" s="167"/>
      <c r="G372" s="174" t="s">
        <v>105</v>
      </c>
      <c r="H372" s="166" t="s">
        <v>223</v>
      </c>
      <c r="I372" s="167"/>
      <c r="J372" s="167"/>
      <c r="K372" s="167"/>
      <c r="L372" s="167"/>
    </row>
    <row r="373" spans="1:12" ht="12.75">
      <c r="A373" s="172" t="s">
        <v>216</v>
      </c>
      <c r="B373" s="172" t="s">
        <v>224</v>
      </c>
      <c r="C373" s="167">
        <v>0</v>
      </c>
      <c r="D373" s="167">
        <v>0</v>
      </c>
      <c r="E373" s="167">
        <v>0</v>
      </c>
      <c r="F373" s="167"/>
      <c r="G373" s="172" t="s">
        <v>183</v>
      </c>
      <c r="H373" s="172" t="s">
        <v>225</v>
      </c>
      <c r="I373" s="167"/>
      <c r="J373" s="167"/>
      <c r="K373" s="167"/>
      <c r="L373" s="167"/>
    </row>
    <row r="374" spans="1:12" ht="12.75">
      <c r="A374" s="172" t="s">
        <v>183</v>
      </c>
      <c r="B374" s="172" t="s">
        <v>225</v>
      </c>
      <c r="C374" s="167">
        <v>0</v>
      </c>
      <c r="D374" s="167">
        <v>0</v>
      </c>
      <c r="E374" s="167">
        <v>0</v>
      </c>
      <c r="F374" s="167"/>
      <c r="G374" s="172" t="s">
        <v>187</v>
      </c>
      <c r="H374" s="172" t="s">
        <v>188</v>
      </c>
      <c r="I374" s="167">
        <f>SUM(I375)</f>
        <v>0</v>
      </c>
      <c r="J374" s="167">
        <f>SUM(J375)</f>
        <v>880</v>
      </c>
      <c r="K374" s="167">
        <f>SUM(K375)</f>
        <v>0</v>
      </c>
      <c r="L374" s="167">
        <f>SUM(I374:K374)</f>
        <v>880</v>
      </c>
    </row>
    <row r="375" spans="1:12" ht="12.75">
      <c r="A375" s="172" t="s">
        <v>187</v>
      </c>
      <c r="B375" s="172" t="s">
        <v>194</v>
      </c>
      <c r="C375" s="167">
        <v>0</v>
      </c>
      <c r="D375" s="167">
        <v>0</v>
      </c>
      <c r="E375" s="167">
        <v>0</v>
      </c>
      <c r="F375" s="167"/>
      <c r="G375" s="174" t="s">
        <v>14</v>
      </c>
      <c r="H375" s="166" t="s">
        <v>190</v>
      </c>
      <c r="I375" s="167"/>
      <c r="J375" s="167">
        <v>880</v>
      </c>
      <c r="K375" s="167"/>
      <c r="L375" s="167">
        <f>SUM(I375:K375)</f>
        <v>880</v>
      </c>
    </row>
    <row r="376" spans="1:12" ht="12.75">
      <c r="A376" s="174"/>
      <c r="B376" s="175" t="s">
        <v>226</v>
      </c>
      <c r="C376" s="176">
        <f>SUM(C362:C367,C371:C375)</f>
        <v>0</v>
      </c>
      <c r="D376" s="176">
        <f>SUM(D362:D367,D371:D375)</f>
        <v>880</v>
      </c>
      <c r="E376" s="176">
        <f>SUM(E362:E367,E371:E375)</f>
        <v>0</v>
      </c>
      <c r="F376" s="176">
        <f>SUM(F362:F367,F371:F375)</f>
        <v>880</v>
      </c>
      <c r="G376" s="174" t="s">
        <v>238</v>
      </c>
      <c r="H376" s="175" t="s">
        <v>227</v>
      </c>
      <c r="I376" s="176">
        <f>SUM(I364:I366,I369,I373,I374)</f>
        <v>0</v>
      </c>
      <c r="J376" s="176">
        <f>SUM(J364:J366,J369,J373,J374)</f>
        <v>880</v>
      </c>
      <c r="K376" s="176">
        <f>SUM(K364:K366,K369,K373,K374)</f>
        <v>0</v>
      </c>
      <c r="L376" s="176">
        <f>SUM(L364:L366,L369,L373,L374)</f>
        <v>880</v>
      </c>
    </row>
    <row r="377" spans="1:12" ht="12.75">
      <c r="A377" s="174"/>
      <c r="B377" s="179" t="s">
        <v>230</v>
      </c>
      <c r="C377" s="180"/>
      <c r="D377" s="180"/>
      <c r="E377" s="180"/>
      <c r="F377" s="184"/>
      <c r="G377" s="174" t="s">
        <v>239</v>
      </c>
      <c r="H377" s="166" t="s">
        <v>231</v>
      </c>
      <c r="I377" s="167">
        <f>C376-I376</f>
        <v>0</v>
      </c>
      <c r="J377" s="167">
        <f>D376-J376</f>
        <v>0</v>
      </c>
      <c r="K377" s="167">
        <f>E376-K376</f>
        <v>0</v>
      </c>
      <c r="L377" s="167">
        <f>SUM(K377)</f>
        <v>0</v>
      </c>
    </row>
    <row r="378" spans="1:12" ht="12.75">
      <c r="A378" s="174"/>
      <c r="B378" s="182" t="s">
        <v>232</v>
      </c>
      <c r="C378" s="183">
        <f>SUM(C377+C361)</f>
        <v>27620</v>
      </c>
      <c r="D378" s="183">
        <f>SUM(D377+D361)</f>
        <v>380</v>
      </c>
      <c r="E378" s="183">
        <f>SUM(E377+E361)</f>
        <v>-6531</v>
      </c>
      <c r="F378" s="183">
        <f>SUM(F377+F361)</f>
        <v>21469</v>
      </c>
      <c r="G378" s="174" t="s">
        <v>240</v>
      </c>
      <c r="H378" s="182" t="s">
        <v>233</v>
      </c>
      <c r="I378" s="176"/>
      <c r="J378" s="167">
        <f>SUM(J361,J377)</f>
        <v>0</v>
      </c>
      <c r="K378" s="167">
        <f>SUM(K361,K377)</f>
        <v>0</v>
      </c>
      <c r="L378" s="167">
        <f>SUM(L361,L377)</f>
        <v>0</v>
      </c>
    </row>
    <row r="379" spans="1:12" ht="12.75">
      <c r="A379" s="174"/>
      <c r="B379" s="175" t="s">
        <v>260</v>
      </c>
      <c r="C379" s="176">
        <f>SUM(C376+C360+C378)</f>
        <v>34523</v>
      </c>
      <c r="D379" s="176">
        <f>SUM(D376+D360+D378)</f>
        <v>1499</v>
      </c>
      <c r="E379" s="176">
        <f>SUM(E376+E360+E378)</f>
        <v>-6572</v>
      </c>
      <c r="F379" s="176">
        <f>SUM(F376+F360+F378)</f>
        <v>29450</v>
      </c>
      <c r="G379" s="174" t="s">
        <v>242</v>
      </c>
      <c r="H379" s="175" t="s">
        <v>260</v>
      </c>
      <c r="I379" s="176">
        <f>SUM(I362,I376,I378)</f>
        <v>34523</v>
      </c>
      <c r="J379" s="176">
        <f>SUM(J362,J376,J378)</f>
        <v>1499</v>
      </c>
      <c r="K379" s="176">
        <f>SUM(K362,K376,K378)</f>
        <v>-6572</v>
      </c>
      <c r="L379" s="176">
        <f>SUM(L362,L376,L378)</f>
        <v>29450</v>
      </c>
    </row>
    <row r="380" spans="1:12" ht="12.75" customHeight="1">
      <c r="A380" s="164" t="s">
        <v>261</v>
      </c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</row>
    <row r="381" spans="1:12" ht="12.75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</row>
    <row r="382" spans="1:12" ht="12.75">
      <c r="A382" s="165" t="s">
        <v>244</v>
      </c>
      <c r="B382" s="166"/>
      <c r="C382" s="167"/>
      <c r="D382" s="167"/>
      <c r="E382" s="167"/>
      <c r="F382" s="167"/>
      <c r="G382" s="166"/>
      <c r="H382" s="166"/>
      <c r="I382" s="168" t="s">
        <v>143</v>
      </c>
      <c r="J382" s="168"/>
      <c r="K382" s="168"/>
      <c r="L382" s="168"/>
    </row>
    <row r="383" spans="1:12" ht="12.75" customHeight="1">
      <c r="A383" s="169" t="s">
        <v>144</v>
      </c>
      <c r="B383" s="170" t="s">
        <v>145</v>
      </c>
      <c r="C383" s="171" t="s">
        <v>146</v>
      </c>
      <c r="D383" s="171" t="s">
        <v>147</v>
      </c>
      <c r="E383" s="171" t="s">
        <v>148</v>
      </c>
      <c r="F383" s="171" t="s">
        <v>149</v>
      </c>
      <c r="G383" s="169" t="s">
        <v>144</v>
      </c>
      <c r="H383" s="170" t="s">
        <v>150</v>
      </c>
      <c r="I383" s="171" t="s">
        <v>146</v>
      </c>
      <c r="J383" s="171" t="s">
        <v>147</v>
      </c>
      <c r="K383" s="171" t="s">
        <v>148</v>
      </c>
      <c r="L383" s="171" t="s">
        <v>149</v>
      </c>
    </row>
    <row r="384" spans="1:12" ht="12.75" customHeight="1">
      <c r="A384" s="169"/>
      <c r="B384" s="170"/>
      <c r="C384" s="171"/>
      <c r="D384" s="171"/>
      <c r="E384" s="171"/>
      <c r="F384" s="171"/>
      <c r="G384" s="169"/>
      <c r="H384" s="170"/>
      <c r="I384" s="171"/>
      <c r="J384" s="171"/>
      <c r="K384" s="171"/>
      <c r="L384" s="171"/>
    </row>
    <row r="385" spans="1:12" ht="12.75" customHeight="1">
      <c r="A385" s="169"/>
      <c r="B385" s="170"/>
      <c r="C385" s="171"/>
      <c r="D385" s="171"/>
      <c r="E385" s="171"/>
      <c r="F385" s="171"/>
      <c r="G385" s="169"/>
      <c r="H385" s="170"/>
      <c r="I385" s="171"/>
      <c r="J385" s="171"/>
      <c r="K385" s="171"/>
      <c r="L385" s="171"/>
    </row>
    <row r="386" spans="1:12" ht="12.75">
      <c r="A386" s="172" t="s">
        <v>12</v>
      </c>
      <c r="B386" s="172" t="s">
        <v>151</v>
      </c>
      <c r="C386" s="173"/>
      <c r="D386" s="173"/>
      <c r="E386" s="173"/>
      <c r="F386" s="173"/>
      <c r="G386" s="172"/>
      <c r="H386" s="172" t="s">
        <v>152</v>
      </c>
      <c r="I386" s="173">
        <f>SUM(I387:I389,I390,I397,I398)</f>
        <v>72488</v>
      </c>
      <c r="J386" s="173">
        <f>SUM(J387:J389,J390,J397,J398)</f>
        <v>-4980</v>
      </c>
      <c r="K386" s="173">
        <f>SUM(K387:K389,K390,K397,K398)</f>
        <v>-1800</v>
      </c>
      <c r="L386" s="173">
        <f>SUM(I386:K386)</f>
        <v>65708</v>
      </c>
    </row>
    <row r="387" spans="1:12" ht="12.75">
      <c r="A387" s="174" t="s">
        <v>14</v>
      </c>
      <c r="B387" s="175" t="s">
        <v>153</v>
      </c>
      <c r="C387" s="176">
        <v>0</v>
      </c>
      <c r="D387" s="176">
        <v>0</v>
      </c>
      <c r="E387" s="176">
        <v>0</v>
      </c>
      <c r="F387" s="176"/>
      <c r="G387" s="172" t="s">
        <v>12</v>
      </c>
      <c r="H387" s="172" t="s">
        <v>47</v>
      </c>
      <c r="I387" s="167">
        <f>17226-1235</f>
        <v>15991</v>
      </c>
      <c r="J387" s="167"/>
      <c r="K387" s="167"/>
      <c r="L387" s="173">
        <f aca="true" t="shared" si="46" ref="L387:L396">SUM(I387:K387)</f>
        <v>15991</v>
      </c>
    </row>
    <row r="388" spans="1:12" ht="12.75">
      <c r="A388" s="174" t="s">
        <v>40</v>
      </c>
      <c r="B388" s="175" t="s">
        <v>154</v>
      </c>
      <c r="C388" s="176">
        <v>0</v>
      </c>
      <c r="D388" s="176">
        <v>0</v>
      </c>
      <c r="E388" s="176">
        <v>0</v>
      </c>
      <c r="F388" s="176"/>
      <c r="G388" s="172" t="s">
        <v>155</v>
      </c>
      <c r="H388" s="172" t="s">
        <v>156</v>
      </c>
      <c r="I388" s="167">
        <v>5265</v>
      </c>
      <c r="J388" s="167"/>
      <c r="K388" s="167"/>
      <c r="L388" s="173">
        <f t="shared" si="46"/>
        <v>5265</v>
      </c>
    </row>
    <row r="389" spans="1:12" ht="12.75">
      <c r="A389" s="177" t="s">
        <v>157</v>
      </c>
      <c r="B389" s="166" t="s">
        <v>158</v>
      </c>
      <c r="C389" s="167">
        <v>0</v>
      </c>
      <c r="D389" s="167">
        <v>0</v>
      </c>
      <c r="E389" s="167">
        <v>0</v>
      </c>
      <c r="F389" s="167"/>
      <c r="G389" s="172" t="s">
        <v>159</v>
      </c>
      <c r="H389" s="172" t="s">
        <v>160</v>
      </c>
      <c r="I389" s="167">
        <v>51232</v>
      </c>
      <c r="J389" s="167">
        <v>-4980</v>
      </c>
      <c r="K389" s="167">
        <v>-1800</v>
      </c>
      <c r="L389" s="173">
        <f t="shared" si="46"/>
        <v>44452</v>
      </c>
    </row>
    <row r="390" spans="1:12" ht="12.75">
      <c r="A390" s="177" t="s">
        <v>161</v>
      </c>
      <c r="B390" s="166" t="s">
        <v>162</v>
      </c>
      <c r="C390" s="167"/>
      <c r="D390" s="167"/>
      <c r="E390" s="167"/>
      <c r="F390" s="167"/>
      <c r="G390" s="172" t="s">
        <v>163</v>
      </c>
      <c r="H390" s="172" t="s">
        <v>164</v>
      </c>
      <c r="I390" s="167"/>
      <c r="J390" s="167"/>
      <c r="K390" s="167"/>
      <c r="L390" s="173">
        <f t="shared" si="46"/>
        <v>0</v>
      </c>
    </row>
    <row r="391" spans="1:12" ht="12.75">
      <c r="A391" s="177" t="s">
        <v>165</v>
      </c>
      <c r="B391" s="166" t="s">
        <v>166</v>
      </c>
      <c r="C391" s="167"/>
      <c r="D391" s="167"/>
      <c r="E391" s="167"/>
      <c r="F391" s="167"/>
      <c r="G391" s="174" t="s">
        <v>14</v>
      </c>
      <c r="H391" s="166" t="s">
        <v>167</v>
      </c>
      <c r="I391" s="167"/>
      <c r="J391" s="167"/>
      <c r="K391" s="167"/>
      <c r="L391" s="173">
        <f t="shared" si="46"/>
        <v>0</v>
      </c>
    </row>
    <row r="392" spans="1:12" ht="12.75">
      <c r="A392" s="178" t="s">
        <v>168</v>
      </c>
      <c r="B392" s="172" t="s">
        <v>169</v>
      </c>
      <c r="C392" s="167"/>
      <c r="D392" s="167"/>
      <c r="E392" s="167"/>
      <c r="F392" s="167"/>
      <c r="G392" s="174" t="s">
        <v>40</v>
      </c>
      <c r="H392" s="166" t="s">
        <v>170</v>
      </c>
      <c r="I392" s="167"/>
      <c r="J392" s="167"/>
      <c r="K392" s="167"/>
      <c r="L392" s="173">
        <f t="shared" si="46"/>
        <v>0</v>
      </c>
    </row>
    <row r="393" spans="1:12" ht="12.75">
      <c r="A393" s="174" t="s">
        <v>14</v>
      </c>
      <c r="B393" s="175" t="s">
        <v>171</v>
      </c>
      <c r="C393" s="176">
        <v>0</v>
      </c>
      <c r="D393" s="176">
        <v>0</v>
      </c>
      <c r="E393" s="176">
        <v>0</v>
      </c>
      <c r="F393" s="176"/>
      <c r="G393" s="174" t="s">
        <v>105</v>
      </c>
      <c r="H393" s="166" t="s">
        <v>172</v>
      </c>
      <c r="I393" s="167">
        <v>0</v>
      </c>
      <c r="J393" s="167">
        <v>0</v>
      </c>
      <c r="K393" s="167">
        <v>0</v>
      </c>
      <c r="L393" s="173">
        <f t="shared" si="46"/>
        <v>0</v>
      </c>
    </row>
    <row r="394" spans="1:12" ht="12.75">
      <c r="A394" s="174" t="s">
        <v>173</v>
      </c>
      <c r="B394" s="166" t="s">
        <v>174</v>
      </c>
      <c r="C394" s="167">
        <v>0</v>
      </c>
      <c r="D394" s="167">
        <v>0</v>
      </c>
      <c r="E394" s="167">
        <v>0</v>
      </c>
      <c r="F394" s="167"/>
      <c r="G394" s="174" t="s">
        <v>107</v>
      </c>
      <c r="H394" s="166" t="s">
        <v>175</v>
      </c>
      <c r="I394" s="167">
        <v>0</v>
      </c>
      <c r="J394" s="167">
        <v>0</v>
      </c>
      <c r="K394" s="167">
        <v>0</v>
      </c>
      <c r="L394" s="173">
        <f t="shared" si="46"/>
        <v>0</v>
      </c>
    </row>
    <row r="395" spans="1:12" ht="12.75">
      <c r="A395" s="174" t="s">
        <v>176</v>
      </c>
      <c r="B395" s="166" t="s">
        <v>177</v>
      </c>
      <c r="C395" s="167">
        <v>0</v>
      </c>
      <c r="D395" s="167">
        <v>0</v>
      </c>
      <c r="E395" s="167">
        <v>0</v>
      </c>
      <c r="F395" s="167"/>
      <c r="G395" s="174" t="s">
        <v>117</v>
      </c>
      <c r="H395" s="166" t="s">
        <v>178</v>
      </c>
      <c r="I395" s="167">
        <v>0</v>
      </c>
      <c r="J395" s="167">
        <v>0</v>
      </c>
      <c r="K395" s="167">
        <v>0</v>
      </c>
      <c r="L395" s="173">
        <f t="shared" si="46"/>
        <v>0</v>
      </c>
    </row>
    <row r="396" spans="1:12" ht="12.75">
      <c r="A396" s="174" t="s">
        <v>179</v>
      </c>
      <c r="B396" s="166" t="s">
        <v>180</v>
      </c>
      <c r="C396" s="167">
        <v>0</v>
      </c>
      <c r="D396" s="167">
        <v>0</v>
      </c>
      <c r="E396" s="167">
        <v>0</v>
      </c>
      <c r="F396" s="167"/>
      <c r="G396" s="174"/>
      <c r="H396" s="166"/>
      <c r="I396" s="167"/>
      <c r="J396" s="167"/>
      <c r="K396" s="167"/>
      <c r="L396" s="173">
        <f t="shared" si="46"/>
        <v>0</v>
      </c>
    </row>
    <row r="397" spans="1:12" ht="12.75">
      <c r="A397" s="172" t="s">
        <v>181</v>
      </c>
      <c r="B397" s="172" t="s">
        <v>182</v>
      </c>
      <c r="C397" s="167"/>
      <c r="D397" s="167"/>
      <c r="E397" s="167"/>
      <c r="F397" s="167"/>
      <c r="G397" s="172" t="s">
        <v>183</v>
      </c>
      <c r="H397" s="172" t="s">
        <v>184</v>
      </c>
      <c r="I397" s="167"/>
      <c r="J397" s="167"/>
      <c r="K397" s="167"/>
      <c r="L397" s="167"/>
    </row>
    <row r="398" spans="1:12" ht="12.75">
      <c r="A398" s="172" t="s">
        <v>185</v>
      </c>
      <c r="B398" s="172" t="s">
        <v>186</v>
      </c>
      <c r="C398" s="167"/>
      <c r="D398" s="167"/>
      <c r="E398" s="167"/>
      <c r="F398" s="167"/>
      <c r="G398" s="172" t="s">
        <v>187</v>
      </c>
      <c r="H398" s="172" t="s">
        <v>188</v>
      </c>
      <c r="I398" s="167"/>
      <c r="J398" s="167"/>
      <c r="K398" s="167"/>
      <c r="L398" s="167"/>
    </row>
    <row r="399" spans="1:12" ht="12.75">
      <c r="A399" s="174"/>
      <c r="B399" s="166" t="s">
        <v>189</v>
      </c>
      <c r="C399" s="167"/>
      <c r="D399" s="167"/>
      <c r="E399" s="167"/>
      <c r="F399" s="167"/>
      <c r="G399" s="174" t="s">
        <v>14</v>
      </c>
      <c r="H399" s="166" t="s">
        <v>190</v>
      </c>
      <c r="I399" s="167"/>
      <c r="J399" s="167"/>
      <c r="K399" s="167"/>
      <c r="L399" s="167"/>
    </row>
    <row r="400" spans="1:12" ht="12.75">
      <c r="A400" s="172" t="s">
        <v>191</v>
      </c>
      <c r="B400" s="172" t="s">
        <v>192</v>
      </c>
      <c r="C400" s="176">
        <v>0</v>
      </c>
      <c r="D400" s="176">
        <v>0</v>
      </c>
      <c r="E400" s="176">
        <v>0</v>
      </c>
      <c r="F400" s="176"/>
      <c r="G400" s="174" t="s">
        <v>40</v>
      </c>
      <c r="H400" s="166" t="s">
        <v>193</v>
      </c>
      <c r="I400" s="167"/>
      <c r="J400" s="167"/>
      <c r="K400" s="167"/>
      <c r="L400" s="167"/>
    </row>
    <row r="401" spans="1:12" ht="12.75">
      <c r="A401" s="172" t="s">
        <v>187</v>
      </c>
      <c r="B401" s="172" t="s">
        <v>194</v>
      </c>
      <c r="C401" s="167">
        <v>0</v>
      </c>
      <c r="D401" s="167">
        <v>0</v>
      </c>
      <c r="E401" s="167">
        <v>0</v>
      </c>
      <c r="F401" s="167"/>
      <c r="G401" s="174"/>
      <c r="H401" s="166"/>
      <c r="I401" s="167"/>
      <c r="J401" s="167"/>
      <c r="K401" s="167"/>
      <c r="L401" s="167"/>
    </row>
    <row r="402" spans="1:12" ht="12.75">
      <c r="A402" s="174"/>
      <c r="B402" s="175" t="s">
        <v>195</v>
      </c>
      <c r="C402" s="176">
        <f>SUM(C387+C388+C393+C397+C398+C400+C401)</f>
        <v>0</v>
      </c>
      <c r="D402" s="176">
        <f>SUM(D387+D388+D393+D397+D398+D400+D401)</f>
        <v>0</v>
      </c>
      <c r="E402" s="176">
        <f>SUM(E387+E388+E393+E397+E398+E400+E401)</f>
        <v>0</v>
      </c>
      <c r="F402" s="185"/>
      <c r="G402" s="174"/>
      <c r="H402" s="175" t="s">
        <v>196</v>
      </c>
      <c r="I402" s="176">
        <f>SUM(I387:I389)</f>
        <v>72488</v>
      </c>
      <c r="J402" s="176">
        <f>SUM(J387:J389)</f>
        <v>-4980</v>
      </c>
      <c r="K402" s="176">
        <f>SUM(K387:K389)</f>
        <v>-1800</v>
      </c>
      <c r="L402" s="176">
        <f>SUM(I402:K402)</f>
        <v>65708</v>
      </c>
    </row>
    <row r="403" spans="1:12" ht="12.75">
      <c r="A403" s="174"/>
      <c r="B403" s="179" t="s">
        <v>197</v>
      </c>
      <c r="C403" s="180"/>
      <c r="D403" s="180"/>
      <c r="E403" s="180"/>
      <c r="F403" s="180"/>
      <c r="G403" s="174"/>
      <c r="H403" s="166" t="s">
        <v>198</v>
      </c>
      <c r="I403" s="180">
        <f>C402-I402</f>
        <v>-72488</v>
      </c>
      <c r="J403" s="180">
        <v>4980</v>
      </c>
      <c r="K403" s="180">
        <f>E402-K402</f>
        <v>1800</v>
      </c>
      <c r="L403" s="167">
        <f>SUM(I403:K403)</f>
        <v>-65708</v>
      </c>
    </row>
    <row r="404" spans="1:12" ht="12.75">
      <c r="A404" s="174"/>
      <c r="B404" s="172" t="s">
        <v>199</v>
      </c>
      <c r="C404" s="167"/>
      <c r="D404" s="167"/>
      <c r="E404" s="167"/>
      <c r="F404" s="167"/>
      <c r="G404" s="174"/>
      <c r="H404" s="175" t="s">
        <v>200</v>
      </c>
      <c r="I404" s="176">
        <f>SUM(I402:I403)</f>
        <v>0</v>
      </c>
      <c r="J404" s="176">
        <f>SUM(J402:J403)</f>
        <v>0</v>
      </c>
      <c r="K404" s="176">
        <f>SUM(K402:K403)</f>
        <v>0</v>
      </c>
      <c r="L404" s="176">
        <f>SUM(L402:L403)</f>
        <v>0</v>
      </c>
    </row>
    <row r="405" spans="1:12" ht="12.75">
      <c r="A405" s="172" t="s">
        <v>201</v>
      </c>
      <c r="B405" s="172" t="s">
        <v>202</v>
      </c>
      <c r="C405" s="167"/>
      <c r="D405" s="167"/>
      <c r="E405" s="167"/>
      <c r="F405" s="167"/>
      <c r="G405" s="174"/>
      <c r="H405" s="179" t="s">
        <v>203</v>
      </c>
      <c r="I405" s="167"/>
      <c r="J405" s="167"/>
      <c r="K405" s="167"/>
      <c r="L405" s="167"/>
    </row>
    <row r="406" spans="1:12" ht="12.75">
      <c r="A406" s="172" t="s">
        <v>204</v>
      </c>
      <c r="B406" s="172" t="s">
        <v>205</v>
      </c>
      <c r="C406" s="167"/>
      <c r="D406" s="167"/>
      <c r="E406" s="167"/>
      <c r="F406" s="167"/>
      <c r="G406" s="174"/>
      <c r="H406" s="172" t="s">
        <v>206</v>
      </c>
      <c r="I406" s="167"/>
      <c r="J406" s="167"/>
      <c r="K406" s="167"/>
      <c r="L406" s="167"/>
    </row>
    <row r="407" spans="1:12" ht="12.75">
      <c r="A407" s="172" t="s">
        <v>207</v>
      </c>
      <c r="B407" s="172" t="s">
        <v>208</v>
      </c>
      <c r="C407" s="167"/>
      <c r="D407" s="167"/>
      <c r="E407" s="167"/>
      <c r="F407" s="167"/>
      <c r="G407" s="172" t="s">
        <v>159</v>
      </c>
      <c r="H407" s="172" t="s">
        <v>209</v>
      </c>
      <c r="I407" s="167"/>
      <c r="J407" s="167"/>
      <c r="K407" s="167"/>
      <c r="L407" s="167"/>
    </row>
    <row r="408" spans="1:12" ht="12.75">
      <c r="A408" s="172" t="s">
        <v>210</v>
      </c>
      <c r="B408" s="172" t="s">
        <v>211</v>
      </c>
      <c r="C408" s="167"/>
      <c r="D408" s="167"/>
      <c r="E408" s="167"/>
      <c r="F408" s="167"/>
      <c r="G408" s="172" t="s">
        <v>163</v>
      </c>
      <c r="H408" s="172" t="s">
        <v>164</v>
      </c>
      <c r="I408" s="167"/>
      <c r="J408" s="167"/>
      <c r="K408" s="167"/>
      <c r="L408" s="167"/>
    </row>
    <row r="409" spans="1:12" ht="12.75">
      <c r="A409" s="172" t="s">
        <v>159</v>
      </c>
      <c r="B409" s="172" t="s">
        <v>212</v>
      </c>
      <c r="C409" s="167"/>
      <c r="D409" s="167"/>
      <c r="E409" s="167"/>
      <c r="F409" s="167"/>
      <c r="G409" s="174" t="s">
        <v>14</v>
      </c>
      <c r="H409" s="166" t="s">
        <v>167</v>
      </c>
      <c r="I409" s="167"/>
      <c r="J409" s="167"/>
      <c r="K409" s="167"/>
      <c r="L409" s="167"/>
    </row>
    <row r="410" spans="1:12" ht="12.75">
      <c r="A410" s="174" t="s">
        <v>14</v>
      </c>
      <c r="B410" s="181" t="s">
        <v>213</v>
      </c>
      <c r="C410" s="167"/>
      <c r="D410" s="167"/>
      <c r="E410" s="167"/>
      <c r="F410" s="167"/>
      <c r="G410" s="174" t="s">
        <v>40</v>
      </c>
      <c r="H410" s="166" t="s">
        <v>214</v>
      </c>
      <c r="I410" s="167"/>
      <c r="J410" s="167"/>
      <c r="K410" s="167"/>
      <c r="L410" s="167"/>
    </row>
    <row r="411" spans="1:12" ht="12.75">
      <c r="A411" s="174" t="s">
        <v>40</v>
      </c>
      <c r="B411" s="181" t="s">
        <v>215</v>
      </c>
      <c r="C411" s="167"/>
      <c r="D411" s="167"/>
      <c r="E411" s="167"/>
      <c r="F411" s="167"/>
      <c r="G411" s="172" t="s">
        <v>216</v>
      </c>
      <c r="H411" s="172" t="s">
        <v>217</v>
      </c>
      <c r="I411" s="167"/>
      <c r="J411" s="167"/>
      <c r="K411" s="167"/>
      <c r="L411" s="167"/>
    </row>
    <row r="412" spans="1:12" ht="12.75">
      <c r="A412" s="174" t="s">
        <v>105</v>
      </c>
      <c r="B412" s="181" t="s">
        <v>218</v>
      </c>
      <c r="C412" s="167"/>
      <c r="D412" s="167"/>
      <c r="E412" s="167"/>
      <c r="F412" s="167"/>
      <c r="G412" s="174" t="s">
        <v>14</v>
      </c>
      <c r="H412" s="181" t="s">
        <v>91</v>
      </c>
      <c r="I412" s="167"/>
      <c r="J412" s="167"/>
      <c r="K412" s="167"/>
      <c r="L412" s="167"/>
    </row>
    <row r="413" spans="1:12" ht="12.75">
      <c r="A413" s="172" t="s">
        <v>219</v>
      </c>
      <c r="B413" s="172" t="s">
        <v>220</v>
      </c>
      <c r="C413" s="167"/>
      <c r="D413" s="167"/>
      <c r="E413" s="167"/>
      <c r="F413" s="167"/>
      <c r="G413" s="174" t="s">
        <v>40</v>
      </c>
      <c r="H413" s="181" t="s">
        <v>90</v>
      </c>
      <c r="I413" s="167"/>
      <c r="J413" s="167"/>
      <c r="K413" s="167"/>
      <c r="L413" s="167"/>
    </row>
    <row r="414" spans="1:12" ht="12.75">
      <c r="A414" s="172" t="s">
        <v>221</v>
      </c>
      <c r="B414" s="172" t="s">
        <v>222</v>
      </c>
      <c r="C414" s="167"/>
      <c r="D414" s="167"/>
      <c r="E414" s="167"/>
      <c r="F414" s="167"/>
      <c r="G414" s="174" t="s">
        <v>105</v>
      </c>
      <c r="H414" s="166" t="s">
        <v>223</v>
      </c>
      <c r="I414" s="167"/>
      <c r="J414" s="167"/>
      <c r="K414" s="167"/>
      <c r="L414" s="167"/>
    </row>
    <row r="415" spans="1:12" ht="12.75">
      <c r="A415" s="172" t="s">
        <v>216</v>
      </c>
      <c r="B415" s="172" t="s">
        <v>224</v>
      </c>
      <c r="C415" s="167">
        <v>0</v>
      </c>
      <c r="D415" s="167">
        <v>0</v>
      </c>
      <c r="E415" s="167">
        <v>0</v>
      </c>
      <c r="F415" s="167"/>
      <c r="G415" s="172" t="s">
        <v>183</v>
      </c>
      <c r="H415" s="172" t="s">
        <v>225</v>
      </c>
      <c r="I415" s="167"/>
      <c r="J415" s="167"/>
      <c r="K415" s="167"/>
      <c r="L415" s="167"/>
    </row>
    <row r="416" spans="1:12" ht="12.75">
      <c r="A416" s="172" t="s">
        <v>183</v>
      </c>
      <c r="B416" s="172" t="s">
        <v>225</v>
      </c>
      <c r="C416" s="167">
        <v>0</v>
      </c>
      <c r="D416" s="167">
        <v>0</v>
      </c>
      <c r="E416" s="167">
        <v>0</v>
      </c>
      <c r="F416" s="167"/>
      <c r="G416" s="172" t="s">
        <v>187</v>
      </c>
      <c r="H416" s="172" t="s">
        <v>188</v>
      </c>
      <c r="I416" s="167"/>
      <c r="J416" s="167"/>
      <c r="K416" s="167"/>
      <c r="L416" s="167"/>
    </row>
    <row r="417" spans="1:12" ht="12.75">
      <c r="A417" s="172" t="s">
        <v>187</v>
      </c>
      <c r="B417" s="172" t="s">
        <v>194</v>
      </c>
      <c r="C417" s="167">
        <v>0</v>
      </c>
      <c r="D417" s="167">
        <v>0</v>
      </c>
      <c r="E417" s="167">
        <v>0</v>
      </c>
      <c r="F417" s="167"/>
      <c r="G417" s="174" t="s">
        <v>14</v>
      </c>
      <c r="H417" s="166" t="s">
        <v>190</v>
      </c>
      <c r="I417" s="167"/>
      <c r="J417" s="167"/>
      <c r="K417" s="167"/>
      <c r="L417" s="167"/>
    </row>
    <row r="418" spans="1:12" ht="12.75">
      <c r="A418" s="174"/>
      <c r="B418" s="175" t="s">
        <v>226</v>
      </c>
      <c r="C418" s="176">
        <f>SUM(C415:C417)</f>
        <v>0</v>
      </c>
      <c r="D418" s="176">
        <f>SUM(D415:D417)</f>
        <v>0</v>
      </c>
      <c r="E418" s="176">
        <f>SUM(E415:E417)</f>
        <v>0</v>
      </c>
      <c r="F418" s="176"/>
      <c r="G418" s="174" t="s">
        <v>238</v>
      </c>
      <c r="H418" s="175" t="s">
        <v>227</v>
      </c>
      <c r="I418" s="176">
        <f>SUM(I415:I417)</f>
        <v>0</v>
      </c>
      <c r="J418" s="176">
        <f>SUM(J415:J417)</f>
        <v>0</v>
      </c>
      <c r="K418" s="176">
        <f>SUM(K415:K417)</f>
        <v>0</v>
      </c>
      <c r="L418" s="176">
        <f>SUM(L415:L417)</f>
        <v>0</v>
      </c>
    </row>
    <row r="419" spans="1:12" ht="12.75">
      <c r="A419" s="174"/>
      <c r="B419" s="179" t="s">
        <v>230</v>
      </c>
      <c r="C419" s="180"/>
      <c r="D419" s="180"/>
      <c r="E419" s="180"/>
      <c r="F419" s="184"/>
      <c r="G419" s="174" t="s">
        <v>239</v>
      </c>
      <c r="H419" s="166" t="s">
        <v>231</v>
      </c>
      <c r="I419" s="167">
        <f>C418-I418</f>
        <v>0</v>
      </c>
      <c r="J419" s="167">
        <f>D418-J418</f>
        <v>0</v>
      </c>
      <c r="K419" s="167">
        <f>E418-K418</f>
        <v>0</v>
      </c>
      <c r="L419" s="167">
        <f>F418-L418</f>
        <v>0</v>
      </c>
    </row>
    <row r="420" spans="1:12" ht="12.75">
      <c r="A420" s="174"/>
      <c r="B420" s="182" t="s">
        <v>232</v>
      </c>
      <c r="C420" s="183">
        <f>SUM(C419+C403)</f>
        <v>0</v>
      </c>
      <c r="D420" s="183">
        <f>SUM(D419+D403)</f>
        <v>0</v>
      </c>
      <c r="E420" s="183">
        <f>SUM(E419+E403)</f>
        <v>0</v>
      </c>
      <c r="F420" s="176"/>
      <c r="G420" s="174" t="s">
        <v>240</v>
      </c>
      <c r="H420" s="182" t="s">
        <v>233</v>
      </c>
      <c r="I420" s="176"/>
      <c r="J420" s="176"/>
      <c r="K420" s="176"/>
      <c r="L420" s="167"/>
    </row>
    <row r="421" spans="1:12" ht="12.75">
      <c r="A421" s="174"/>
      <c r="B421" s="175" t="s">
        <v>262</v>
      </c>
      <c r="C421" s="176">
        <f>SUM(C418+C402+C420)</f>
        <v>0</v>
      </c>
      <c r="D421" s="176">
        <f>SUM(D418+D402+D420)</f>
        <v>0</v>
      </c>
      <c r="E421" s="176">
        <f>SUM(E418+E402+E420)</f>
        <v>0</v>
      </c>
      <c r="F421" s="176"/>
      <c r="G421" s="174" t="s">
        <v>242</v>
      </c>
      <c r="H421" s="175" t="s">
        <v>262</v>
      </c>
      <c r="I421" s="176">
        <f>SUM(I404,I418,I420)</f>
        <v>0</v>
      </c>
      <c r="J421" s="176">
        <f>SUM(J404,J418,J420)</f>
        <v>0</v>
      </c>
      <c r="K421" s="176">
        <f>SUM(K404,K418,K420)</f>
        <v>0</v>
      </c>
      <c r="L421" s="176">
        <f>SUM(L404,L418,L420)</f>
        <v>0</v>
      </c>
    </row>
  </sheetData>
  <sheetProtection selectLockedCells="1" selectUnlockedCells="1"/>
  <mergeCells count="140">
    <mergeCell ref="A1:L2"/>
    <mergeCell ref="I3:L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44:L45"/>
    <mergeCell ref="I46:L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86:L87"/>
    <mergeCell ref="I88:L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A128:L129"/>
    <mergeCell ref="I130:L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A170:L171"/>
    <mergeCell ref="I172:L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A212:L213"/>
    <mergeCell ref="I214:L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J215:J217"/>
    <mergeCell ref="K215:K217"/>
    <mergeCell ref="L215:L217"/>
    <mergeCell ref="A254:L255"/>
    <mergeCell ref="I256:L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J257:J259"/>
    <mergeCell ref="K257:K259"/>
    <mergeCell ref="L257:L259"/>
    <mergeCell ref="A296:L297"/>
    <mergeCell ref="I298:L29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A338:L339"/>
    <mergeCell ref="I340:L340"/>
    <mergeCell ref="A341:A343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J341:J343"/>
    <mergeCell ref="K341:K343"/>
    <mergeCell ref="L341:L343"/>
    <mergeCell ref="A380:L381"/>
    <mergeCell ref="I382:L382"/>
    <mergeCell ref="A383:A385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J383:J385"/>
    <mergeCell ref="K383:K385"/>
    <mergeCell ref="L383:L385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3"/>
  <headerFooter alignWithMargins="0">
    <oddFooter>&amp;C&amp;P. oldal&amp;R&amp;A</oddFooter>
  </headerFooter>
  <rowBreaks count="9" manualBreakCount="9">
    <brk id="43" max="255" man="1"/>
    <brk id="85" max="255" man="1"/>
    <brk id="127" max="255" man="1"/>
    <brk id="169" max="255" man="1"/>
    <brk id="211" max="255" man="1"/>
    <brk id="253" max="255" man="1"/>
    <brk id="295" max="255" man="1"/>
    <brk id="337" max="255" man="1"/>
    <brk id="3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rendelet, rendeletek, 2009</dc:title>
  <dc:subject/>
  <dc:creator>Polgármesteri Hivatal Hajdúsámson</dc:creator>
  <cp:keywords/>
  <dc:description/>
  <cp:lastModifiedBy>User</cp:lastModifiedBy>
  <cp:lastPrinted>2010-04-19T11:45:46Z</cp:lastPrinted>
  <dcterms:created xsi:type="dcterms:W3CDTF">2009-01-08T14:34:47Z</dcterms:created>
  <dcterms:modified xsi:type="dcterms:W3CDTF">2010-04-19T11:49:02Z</dcterms:modified>
  <cp:category/>
  <cp:version/>
  <cp:contentType/>
  <cp:contentStatus/>
</cp:coreProperties>
</file>